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\Desktop\"/>
    </mc:Choice>
  </mc:AlternateContent>
  <xr:revisionPtr revIDLastSave="0" documentId="13_ncr:1_{CD41805B-D8E4-43A4-A6E4-EF8CDC594D7D}" xr6:coauthVersionLast="47" xr6:coauthVersionMax="47" xr10:uidLastSave="{00000000-0000-0000-0000-000000000000}"/>
  <bookViews>
    <workbookView xWindow="-98" yWindow="-98" windowWidth="19396" windowHeight="11596" xr2:uid="{DFB1C875-C51E-4EF1-93C0-954BD71F0B7E}"/>
  </bookViews>
  <sheets>
    <sheet name="干团聚体分级" sheetId="1" r:id="rId1"/>
    <sheet name="土壤总盐分" sheetId="2" r:id="rId2"/>
    <sheet name="10cm各级团聚体盐分" sheetId="3" r:id="rId3"/>
    <sheet name="20cm分级团聚体盐分" sheetId="4" r:id="rId4"/>
    <sheet name="30cm分级团聚体盐分" sheetId="5" r:id="rId5"/>
    <sheet name="原子吸收KN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6" i="6" l="1"/>
  <c r="F406" i="6"/>
  <c r="G406" i="6" s="1"/>
  <c r="C406" i="6"/>
  <c r="D406" i="6" s="1"/>
  <c r="G405" i="6"/>
  <c r="F405" i="6"/>
  <c r="C405" i="6"/>
  <c r="D405" i="6" s="1"/>
  <c r="F404" i="6"/>
  <c r="G404" i="6" s="1"/>
  <c r="C404" i="6"/>
  <c r="D404" i="6" s="1"/>
  <c r="H406" i="6" s="1"/>
  <c r="I403" i="6"/>
  <c r="F403" i="6"/>
  <c r="G403" i="6" s="1"/>
  <c r="C403" i="6"/>
  <c r="D403" i="6" s="1"/>
  <c r="F402" i="6"/>
  <c r="G402" i="6" s="1"/>
  <c r="D402" i="6"/>
  <c r="C402" i="6"/>
  <c r="F401" i="6"/>
  <c r="G401" i="6" s="1"/>
  <c r="C401" i="6"/>
  <c r="D401" i="6" s="1"/>
  <c r="H403" i="6" s="1"/>
  <c r="I400" i="6"/>
  <c r="G400" i="6"/>
  <c r="F400" i="6"/>
  <c r="C400" i="6"/>
  <c r="D400" i="6" s="1"/>
  <c r="F399" i="6"/>
  <c r="G399" i="6" s="1"/>
  <c r="C399" i="6"/>
  <c r="D399" i="6" s="1"/>
  <c r="G398" i="6"/>
  <c r="F398" i="6"/>
  <c r="C398" i="6"/>
  <c r="D398" i="6" s="1"/>
  <c r="I397" i="6"/>
  <c r="F397" i="6"/>
  <c r="G397" i="6" s="1"/>
  <c r="D397" i="6"/>
  <c r="C397" i="6"/>
  <c r="F396" i="6"/>
  <c r="G396" i="6" s="1"/>
  <c r="D396" i="6"/>
  <c r="C396" i="6"/>
  <c r="F395" i="6"/>
  <c r="G395" i="6" s="1"/>
  <c r="D395" i="6"/>
  <c r="H397" i="6" s="1"/>
  <c r="C395" i="6"/>
  <c r="I394" i="6"/>
  <c r="G394" i="6"/>
  <c r="F394" i="6"/>
  <c r="C394" i="6"/>
  <c r="D394" i="6" s="1"/>
  <c r="G393" i="6"/>
  <c r="F393" i="6"/>
  <c r="C393" i="6"/>
  <c r="D393" i="6" s="1"/>
  <c r="G392" i="6"/>
  <c r="F392" i="6"/>
  <c r="C392" i="6"/>
  <c r="D392" i="6" s="1"/>
  <c r="H394" i="6" s="1"/>
  <c r="I391" i="6"/>
  <c r="F391" i="6"/>
  <c r="G391" i="6" s="1"/>
  <c r="D391" i="6"/>
  <c r="C391" i="6"/>
  <c r="F390" i="6"/>
  <c r="G390" i="6" s="1"/>
  <c r="D390" i="6"/>
  <c r="H391" i="6" s="1"/>
  <c r="C390" i="6"/>
  <c r="F389" i="6"/>
  <c r="G389" i="6" s="1"/>
  <c r="D389" i="6"/>
  <c r="C389" i="6"/>
  <c r="I388" i="6"/>
  <c r="G388" i="6"/>
  <c r="F388" i="6"/>
  <c r="C388" i="6"/>
  <c r="D388" i="6" s="1"/>
  <c r="G387" i="6"/>
  <c r="F387" i="6"/>
  <c r="C387" i="6"/>
  <c r="D387" i="6" s="1"/>
  <c r="G386" i="6"/>
  <c r="F386" i="6"/>
  <c r="C386" i="6"/>
  <c r="D386" i="6" s="1"/>
  <c r="I385" i="6"/>
  <c r="F385" i="6"/>
  <c r="G385" i="6" s="1"/>
  <c r="D385" i="6"/>
  <c r="C385" i="6"/>
  <c r="F384" i="6"/>
  <c r="G384" i="6" s="1"/>
  <c r="D384" i="6"/>
  <c r="C384" i="6"/>
  <c r="F383" i="6"/>
  <c r="G383" i="6" s="1"/>
  <c r="D383" i="6"/>
  <c r="H385" i="6" s="1"/>
  <c r="C383" i="6"/>
  <c r="I382" i="6"/>
  <c r="G382" i="6"/>
  <c r="F382" i="6"/>
  <c r="C382" i="6"/>
  <c r="D382" i="6" s="1"/>
  <c r="G381" i="6"/>
  <c r="F381" i="6"/>
  <c r="C381" i="6"/>
  <c r="D381" i="6" s="1"/>
  <c r="G380" i="6"/>
  <c r="F380" i="6"/>
  <c r="C380" i="6"/>
  <c r="D380" i="6" s="1"/>
  <c r="H382" i="6" s="1"/>
  <c r="I379" i="6"/>
  <c r="F379" i="6"/>
  <c r="G379" i="6" s="1"/>
  <c r="D379" i="6"/>
  <c r="C379" i="6"/>
  <c r="F378" i="6"/>
  <c r="G378" i="6" s="1"/>
  <c r="D378" i="6"/>
  <c r="H379" i="6" s="1"/>
  <c r="C378" i="6"/>
  <c r="F377" i="6"/>
  <c r="G377" i="6" s="1"/>
  <c r="D377" i="6"/>
  <c r="C377" i="6"/>
  <c r="I376" i="6"/>
  <c r="G376" i="6"/>
  <c r="F376" i="6"/>
  <c r="C376" i="6"/>
  <c r="D376" i="6" s="1"/>
  <c r="G375" i="6"/>
  <c r="F375" i="6"/>
  <c r="C375" i="6"/>
  <c r="D375" i="6" s="1"/>
  <c r="G374" i="6"/>
  <c r="F374" i="6"/>
  <c r="C374" i="6"/>
  <c r="D374" i="6" s="1"/>
  <c r="I373" i="6"/>
  <c r="F373" i="6"/>
  <c r="G373" i="6" s="1"/>
  <c r="D373" i="6"/>
  <c r="C373" i="6"/>
  <c r="F372" i="6"/>
  <c r="G372" i="6" s="1"/>
  <c r="D372" i="6"/>
  <c r="C372" i="6"/>
  <c r="F371" i="6"/>
  <c r="G371" i="6" s="1"/>
  <c r="D371" i="6"/>
  <c r="H373" i="6" s="1"/>
  <c r="C371" i="6"/>
  <c r="I370" i="6"/>
  <c r="G370" i="6"/>
  <c r="F370" i="6"/>
  <c r="C370" i="6"/>
  <c r="D370" i="6" s="1"/>
  <c r="G369" i="6"/>
  <c r="F369" i="6"/>
  <c r="C369" i="6"/>
  <c r="D369" i="6" s="1"/>
  <c r="G368" i="6"/>
  <c r="F368" i="6"/>
  <c r="C368" i="6"/>
  <c r="D368" i="6" s="1"/>
  <c r="H370" i="6" s="1"/>
  <c r="I367" i="6"/>
  <c r="F367" i="6"/>
  <c r="G367" i="6" s="1"/>
  <c r="D367" i="6"/>
  <c r="C367" i="6"/>
  <c r="F366" i="6"/>
  <c r="G366" i="6" s="1"/>
  <c r="D366" i="6"/>
  <c r="C366" i="6"/>
  <c r="F365" i="6"/>
  <c r="G365" i="6" s="1"/>
  <c r="D365" i="6"/>
  <c r="H367" i="6" s="1"/>
  <c r="C365" i="6"/>
  <c r="I364" i="6"/>
  <c r="G364" i="6"/>
  <c r="F364" i="6"/>
  <c r="C364" i="6"/>
  <c r="D364" i="6" s="1"/>
  <c r="G363" i="6"/>
  <c r="F363" i="6"/>
  <c r="D363" i="6"/>
  <c r="C363" i="6"/>
  <c r="G362" i="6"/>
  <c r="F362" i="6"/>
  <c r="C362" i="6"/>
  <c r="D362" i="6" s="1"/>
  <c r="H364" i="6" s="1"/>
  <c r="I361" i="6"/>
  <c r="G361" i="6"/>
  <c r="F361" i="6"/>
  <c r="D361" i="6"/>
  <c r="C361" i="6"/>
  <c r="F360" i="6"/>
  <c r="G360" i="6" s="1"/>
  <c r="D360" i="6"/>
  <c r="C360" i="6"/>
  <c r="G359" i="6"/>
  <c r="F359" i="6"/>
  <c r="D359" i="6"/>
  <c r="H361" i="6" s="1"/>
  <c r="C359" i="6"/>
  <c r="I358" i="6"/>
  <c r="G358" i="6"/>
  <c r="F358" i="6"/>
  <c r="D358" i="6"/>
  <c r="C358" i="6"/>
  <c r="G357" i="6"/>
  <c r="F357" i="6"/>
  <c r="C357" i="6"/>
  <c r="D357" i="6" s="1"/>
  <c r="G356" i="6"/>
  <c r="F356" i="6"/>
  <c r="D356" i="6"/>
  <c r="C356" i="6"/>
  <c r="I355" i="6"/>
  <c r="F355" i="6"/>
  <c r="G355" i="6" s="1"/>
  <c r="D355" i="6"/>
  <c r="C355" i="6"/>
  <c r="G354" i="6"/>
  <c r="F354" i="6"/>
  <c r="D354" i="6"/>
  <c r="C354" i="6"/>
  <c r="F353" i="6"/>
  <c r="G353" i="6" s="1"/>
  <c r="D353" i="6"/>
  <c r="H355" i="6" s="1"/>
  <c r="C353" i="6"/>
  <c r="I352" i="6"/>
  <c r="G352" i="6"/>
  <c r="F352" i="6"/>
  <c r="C352" i="6"/>
  <c r="D352" i="6" s="1"/>
  <c r="G351" i="6"/>
  <c r="F351" i="6"/>
  <c r="D351" i="6"/>
  <c r="C351" i="6"/>
  <c r="G350" i="6"/>
  <c r="F350" i="6"/>
  <c r="C350" i="6"/>
  <c r="D350" i="6" s="1"/>
  <c r="H352" i="6" s="1"/>
  <c r="I349" i="6"/>
  <c r="G349" i="6"/>
  <c r="F349" i="6"/>
  <c r="D349" i="6"/>
  <c r="C349" i="6"/>
  <c r="F348" i="6"/>
  <c r="G348" i="6" s="1"/>
  <c r="D348" i="6"/>
  <c r="C348" i="6"/>
  <c r="G347" i="6"/>
  <c r="F347" i="6"/>
  <c r="D347" i="6"/>
  <c r="H349" i="6" s="1"/>
  <c r="C347" i="6"/>
  <c r="I346" i="6"/>
  <c r="G346" i="6"/>
  <c r="F346" i="6"/>
  <c r="D346" i="6"/>
  <c r="C346" i="6"/>
  <c r="G345" i="6"/>
  <c r="F345" i="6"/>
  <c r="C345" i="6"/>
  <c r="D345" i="6" s="1"/>
  <c r="G344" i="6"/>
  <c r="F344" i="6"/>
  <c r="D344" i="6"/>
  <c r="H346" i="6" s="1"/>
  <c r="C344" i="6"/>
  <c r="I343" i="6"/>
  <c r="F343" i="6"/>
  <c r="G343" i="6" s="1"/>
  <c r="D343" i="6"/>
  <c r="C343" i="6"/>
  <c r="G342" i="6"/>
  <c r="F342" i="6"/>
  <c r="D342" i="6"/>
  <c r="C342" i="6"/>
  <c r="F341" i="6"/>
  <c r="G341" i="6" s="1"/>
  <c r="D341" i="6"/>
  <c r="H343" i="6" s="1"/>
  <c r="C341" i="6"/>
  <c r="I340" i="6"/>
  <c r="G340" i="6"/>
  <c r="F340" i="6"/>
  <c r="C340" i="6"/>
  <c r="D340" i="6" s="1"/>
  <c r="G339" i="6"/>
  <c r="F339" i="6"/>
  <c r="D339" i="6"/>
  <c r="C339" i="6"/>
  <c r="G338" i="6"/>
  <c r="F338" i="6"/>
  <c r="C338" i="6"/>
  <c r="D338" i="6" s="1"/>
  <c r="H340" i="6" s="1"/>
  <c r="I337" i="6"/>
  <c r="G337" i="6"/>
  <c r="F337" i="6"/>
  <c r="D337" i="6"/>
  <c r="C337" i="6"/>
  <c r="F336" i="6"/>
  <c r="G336" i="6" s="1"/>
  <c r="D336" i="6"/>
  <c r="C336" i="6"/>
  <c r="G335" i="6"/>
  <c r="F335" i="6"/>
  <c r="D335" i="6"/>
  <c r="H337" i="6" s="1"/>
  <c r="C335" i="6"/>
  <c r="I334" i="6"/>
  <c r="G334" i="6"/>
  <c r="F334" i="6"/>
  <c r="D334" i="6"/>
  <c r="C334" i="6"/>
  <c r="G333" i="6"/>
  <c r="F333" i="6"/>
  <c r="C333" i="6"/>
  <c r="D333" i="6" s="1"/>
  <c r="G332" i="6"/>
  <c r="F332" i="6"/>
  <c r="D332" i="6"/>
  <c r="H334" i="6" s="1"/>
  <c r="C332" i="6"/>
  <c r="I331" i="6"/>
  <c r="F331" i="6"/>
  <c r="G331" i="6" s="1"/>
  <c r="D331" i="6"/>
  <c r="C331" i="6"/>
  <c r="G330" i="6"/>
  <c r="F330" i="6"/>
  <c r="D330" i="6"/>
  <c r="C330" i="6"/>
  <c r="F329" i="6"/>
  <c r="G329" i="6" s="1"/>
  <c r="D329" i="6"/>
  <c r="H331" i="6" s="1"/>
  <c r="C329" i="6"/>
  <c r="I328" i="6"/>
  <c r="G328" i="6"/>
  <c r="F328" i="6"/>
  <c r="C328" i="6"/>
  <c r="D328" i="6" s="1"/>
  <c r="G327" i="6"/>
  <c r="F327" i="6"/>
  <c r="D327" i="6"/>
  <c r="C327" i="6"/>
  <c r="G326" i="6"/>
  <c r="F326" i="6"/>
  <c r="C326" i="6"/>
  <c r="D326" i="6" s="1"/>
  <c r="I325" i="6"/>
  <c r="G325" i="6"/>
  <c r="F325" i="6"/>
  <c r="D325" i="6"/>
  <c r="C325" i="6"/>
  <c r="F324" i="6"/>
  <c r="G324" i="6" s="1"/>
  <c r="D324" i="6"/>
  <c r="C324" i="6"/>
  <c r="G323" i="6"/>
  <c r="F323" i="6"/>
  <c r="D323" i="6"/>
  <c r="H325" i="6" s="1"/>
  <c r="C323" i="6"/>
  <c r="I322" i="6"/>
  <c r="G322" i="6"/>
  <c r="F322" i="6"/>
  <c r="D322" i="6"/>
  <c r="C322" i="6"/>
  <c r="G321" i="6"/>
  <c r="F321" i="6"/>
  <c r="C321" i="6"/>
  <c r="D321" i="6" s="1"/>
  <c r="G320" i="6"/>
  <c r="F320" i="6"/>
  <c r="D320" i="6"/>
  <c r="C320" i="6"/>
  <c r="I319" i="6"/>
  <c r="F319" i="6"/>
  <c r="G319" i="6" s="1"/>
  <c r="D319" i="6"/>
  <c r="C319" i="6"/>
  <c r="G318" i="6"/>
  <c r="F318" i="6"/>
  <c r="D318" i="6"/>
  <c r="C318" i="6"/>
  <c r="F317" i="6"/>
  <c r="G317" i="6" s="1"/>
  <c r="D317" i="6"/>
  <c r="H319" i="6" s="1"/>
  <c r="C317" i="6"/>
  <c r="I316" i="6"/>
  <c r="G316" i="6"/>
  <c r="F316" i="6"/>
  <c r="C316" i="6"/>
  <c r="D316" i="6" s="1"/>
  <c r="G315" i="6"/>
  <c r="F315" i="6"/>
  <c r="D315" i="6"/>
  <c r="C315" i="6"/>
  <c r="G314" i="6"/>
  <c r="F314" i="6"/>
  <c r="C314" i="6"/>
  <c r="D314" i="6" s="1"/>
  <c r="H316" i="6" s="1"/>
  <c r="I313" i="6"/>
  <c r="G313" i="6"/>
  <c r="F313" i="6"/>
  <c r="D313" i="6"/>
  <c r="C313" i="6"/>
  <c r="F312" i="6"/>
  <c r="G312" i="6" s="1"/>
  <c r="D312" i="6"/>
  <c r="C312" i="6"/>
  <c r="G311" i="6"/>
  <c r="F311" i="6"/>
  <c r="D311" i="6"/>
  <c r="H313" i="6" s="1"/>
  <c r="C311" i="6"/>
  <c r="I310" i="6"/>
  <c r="G310" i="6"/>
  <c r="F310" i="6"/>
  <c r="D310" i="6"/>
  <c r="C310" i="6"/>
  <c r="G309" i="6"/>
  <c r="F309" i="6"/>
  <c r="C309" i="6"/>
  <c r="D309" i="6" s="1"/>
  <c r="G308" i="6"/>
  <c r="F308" i="6"/>
  <c r="D308" i="6"/>
  <c r="C308" i="6"/>
  <c r="I307" i="6"/>
  <c r="F307" i="6"/>
  <c r="G307" i="6" s="1"/>
  <c r="D307" i="6"/>
  <c r="C307" i="6"/>
  <c r="G306" i="6"/>
  <c r="F306" i="6"/>
  <c r="D306" i="6"/>
  <c r="C306" i="6"/>
  <c r="F305" i="6"/>
  <c r="G305" i="6" s="1"/>
  <c r="D305" i="6"/>
  <c r="H307" i="6" s="1"/>
  <c r="C305" i="6"/>
  <c r="I304" i="6"/>
  <c r="G304" i="6"/>
  <c r="F304" i="6"/>
  <c r="C304" i="6"/>
  <c r="D304" i="6" s="1"/>
  <c r="G303" i="6"/>
  <c r="F303" i="6"/>
  <c r="D303" i="6"/>
  <c r="C303" i="6"/>
  <c r="G302" i="6"/>
  <c r="F302" i="6"/>
  <c r="C302" i="6"/>
  <c r="D302" i="6" s="1"/>
  <c r="H304" i="6" s="1"/>
  <c r="I301" i="6"/>
  <c r="G301" i="6"/>
  <c r="F301" i="6"/>
  <c r="D301" i="6"/>
  <c r="C301" i="6"/>
  <c r="F300" i="6"/>
  <c r="G300" i="6" s="1"/>
  <c r="D300" i="6"/>
  <c r="C300" i="6"/>
  <c r="G299" i="6"/>
  <c r="F299" i="6"/>
  <c r="D299" i="6"/>
  <c r="H301" i="6" s="1"/>
  <c r="C299" i="6"/>
  <c r="I298" i="6"/>
  <c r="G298" i="6"/>
  <c r="F298" i="6"/>
  <c r="D298" i="6"/>
  <c r="C298" i="6"/>
  <c r="G297" i="6"/>
  <c r="F297" i="6"/>
  <c r="C297" i="6"/>
  <c r="D297" i="6" s="1"/>
  <c r="G296" i="6"/>
  <c r="F296" i="6"/>
  <c r="D296" i="6"/>
  <c r="C296" i="6"/>
  <c r="I295" i="6"/>
  <c r="F295" i="6"/>
  <c r="G295" i="6" s="1"/>
  <c r="D295" i="6"/>
  <c r="C295" i="6"/>
  <c r="G294" i="6"/>
  <c r="F294" i="6"/>
  <c r="D294" i="6"/>
  <c r="C294" i="6"/>
  <c r="F293" i="6"/>
  <c r="G293" i="6" s="1"/>
  <c r="D293" i="6"/>
  <c r="H295" i="6" s="1"/>
  <c r="C293" i="6"/>
  <c r="I292" i="6"/>
  <c r="G292" i="6"/>
  <c r="F292" i="6"/>
  <c r="C292" i="6"/>
  <c r="D292" i="6" s="1"/>
  <c r="G291" i="6"/>
  <c r="F291" i="6"/>
  <c r="D291" i="6"/>
  <c r="C291" i="6"/>
  <c r="G290" i="6"/>
  <c r="F290" i="6"/>
  <c r="C290" i="6"/>
  <c r="D290" i="6" s="1"/>
  <c r="H292" i="6" s="1"/>
  <c r="I289" i="6"/>
  <c r="G289" i="6"/>
  <c r="F289" i="6"/>
  <c r="D289" i="6"/>
  <c r="C289" i="6"/>
  <c r="F288" i="6"/>
  <c r="G288" i="6" s="1"/>
  <c r="D288" i="6"/>
  <c r="C288" i="6"/>
  <c r="G287" i="6"/>
  <c r="F287" i="6"/>
  <c r="D287" i="6"/>
  <c r="H289" i="6" s="1"/>
  <c r="C287" i="6"/>
  <c r="I286" i="6"/>
  <c r="G286" i="6"/>
  <c r="F286" i="6"/>
  <c r="D286" i="6"/>
  <c r="C286" i="6"/>
  <c r="G285" i="6"/>
  <c r="F285" i="6"/>
  <c r="C285" i="6"/>
  <c r="D285" i="6" s="1"/>
  <c r="G284" i="6"/>
  <c r="F284" i="6"/>
  <c r="D284" i="6"/>
  <c r="C284" i="6"/>
  <c r="I283" i="6"/>
  <c r="F283" i="6"/>
  <c r="G283" i="6" s="1"/>
  <c r="D283" i="6"/>
  <c r="C283" i="6"/>
  <c r="G282" i="6"/>
  <c r="F282" i="6"/>
  <c r="D282" i="6"/>
  <c r="C282" i="6"/>
  <c r="F281" i="6"/>
  <c r="G281" i="6" s="1"/>
  <c r="D281" i="6"/>
  <c r="H283" i="6" s="1"/>
  <c r="C281" i="6"/>
  <c r="I280" i="6"/>
  <c r="G280" i="6"/>
  <c r="F280" i="6"/>
  <c r="C280" i="6"/>
  <c r="D280" i="6" s="1"/>
  <c r="G279" i="6"/>
  <c r="F279" i="6"/>
  <c r="D279" i="6"/>
  <c r="C279" i="6"/>
  <c r="G278" i="6"/>
  <c r="F278" i="6"/>
  <c r="C278" i="6"/>
  <c r="D278" i="6" s="1"/>
  <c r="I277" i="6"/>
  <c r="G277" i="6"/>
  <c r="F277" i="6"/>
  <c r="D277" i="6"/>
  <c r="C277" i="6"/>
  <c r="F276" i="6"/>
  <c r="G276" i="6" s="1"/>
  <c r="D276" i="6"/>
  <c r="C276" i="6"/>
  <c r="G275" i="6"/>
  <c r="F275" i="6"/>
  <c r="D275" i="6"/>
  <c r="H277" i="6" s="1"/>
  <c r="C275" i="6"/>
  <c r="I274" i="6"/>
  <c r="G274" i="6"/>
  <c r="F274" i="6"/>
  <c r="D274" i="6"/>
  <c r="C274" i="6"/>
  <c r="G273" i="6"/>
  <c r="F273" i="6"/>
  <c r="C273" i="6"/>
  <c r="D273" i="6" s="1"/>
  <c r="G272" i="6"/>
  <c r="F272" i="6"/>
  <c r="D272" i="6"/>
  <c r="C272" i="6"/>
  <c r="I271" i="6"/>
  <c r="F271" i="6"/>
  <c r="G271" i="6" s="1"/>
  <c r="D271" i="6"/>
  <c r="C271" i="6"/>
  <c r="G270" i="6"/>
  <c r="F270" i="6"/>
  <c r="D270" i="6"/>
  <c r="C270" i="6"/>
  <c r="F269" i="6"/>
  <c r="G269" i="6" s="1"/>
  <c r="D269" i="6"/>
  <c r="H271" i="6" s="1"/>
  <c r="C269" i="6"/>
  <c r="I268" i="6"/>
  <c r="G268" i="6"/>
  <c r="F268" i="6"/>
  <c r="C268" i="6"/>
  <c r="D268" i="6" s="1"/>
  <c r="G267" i="6"/>
  <c r="F267" i="6"/>
  <c r="D267" i="6"/>
  <c r="C267" i="6"/>
  <c r="G266" i="6"/>
  <c r="F266" i="6"/>
  <c r="C266" i="6"/>
  <c r="D266" i="6" s="1"/>
  <c r="H268" i="6" s="1"/>
  <c r="I265" i="6"/>
  <c r="G265" i="6"/>
  <c r="F265" i="6"/>
  <c r="D265" i="6"/>
  <c r="C265" i="6"/>
  <c r="F264" i="6"/>
  <c r="G264" i="6" s="1"/>
  <c r="D264" i="6"/>
  <c r="C264" i="6"/>
  <c r="G263" i="6"/>
  <c r="F263" i="6"/>
  <c r="D263" i="6"/>
  <c r="H265" i="6" s="1"/>
  <c r="C263" i="6"/>
  <c r="I262" i="6"/>
  <c r="G262" i="6"/>
  <c r="F262" i="6"/>
  <c r="D262" i="6"/>
  <c r="C262" i="6"/>
  <c r="G261" i="6"/>
  <c r="F261" i="6"/>
  <c r="D261" i="6"/>
  <c r="C261" i="6"/>
  <c r="G260" i="6"/>
  <c r="F260" i="6"/>
  <c r="D260" i="6"/>
  <c r="H262" i="6" s="1"/>
  <c r="C260" i="6"/>
  <c r="I259" i="6"/>
  <c r="G259" i="6"/>
  <c r="F259" i="6"/>
  <c r="D259" i="6"/>
  <c r="C259" i="6"/>
  <c r="G258" i="6"/>
  <c r="F258" i="6"/>
  <c r="D258" i="6"/>
  <c r="C258" i="6"/>
  <c r="G257" i="6"/>
  <c r="F257" i="6"/>
  <c r="D257" i="6"/>
  <c r="H259" i="6" s="1"/>
  <c r="C257" i="6"/>
  <c r="I256" i="6"/>
  <c r="G256" i="6"/>
  <c r="F256" i="6"/>
  <c r="D256" i="6"/>
  <c r="C256" i="6"/>
  <c r="G255" i="6"/>
  <c r="F255" i="6"/>
  <c r="D255" i="6"/>
  <c r="C255" i="6"/>
  <c r="G254" i="6"/>
  <c r="F254" i="6"/>
  <c r="D254" i="6"/>
  <c r="H256" i="6" s="1"/>
  <c r="C254" i="6"/>
  <c r="I253" i="6"/>
  <c r="G253" i="6"/>
  <c r="F253" i="6"/>
  <c r="D253" i="6"/>
  <c r="C253" i="6"/>
  <c r="G252" i="6"/>
  <c r="F252" i="6"/>
  <c r="D252" i="6"/>
  <c r="C252" i="6"/>
  <c r="G251" i="6"/>
  <c r="F251" i="6"/>
  <c r="D251" i="6"/>
  <c r="H253" i="6" s="1"/>
  <c r="C251" i="6"/>
  <c r="I250" i="6"/>
  <c r="G250" i="6"/>
  <c r="F250" i="6"/>
  <c r="D250" i="6"/>
  <c r="C250" i="6"/>
  <c r="G249" i="6"/>
  <c r="F249" i="6"/>
  <c r="D249" i="6"/>
  <c r="C249" i="6"/>
  <c r="G248" i="6"/>
  <c r="F248" i="6"/>
  <c r="D248" i="6"/>
  <c r="H250" i="6" s="1"/>
  <c r="C248" i="6"/>
  <c r="I247" i="6"/>
  <c r="G247" i="6"/>
  <c r="F247" i="6"/>
  <c r="D247" i="6"/>
  <c r="C247" i="6"/>
  <c r="G246" i="6"/>
  <c r="F246" i="6"/>
  <c r="D246" i="6"/>
  <c r="C246" i="6"/>
  <c r="G245" i="6"/>
  <c r="F245" i="6"/>
  <c r="D245" i="6"/>
  <c r="H247" i="6" s="1"/>
  <c r="C245" i="6"/>
  <c r="I244" i="6"/>
  <c r="G244" i="6"/>
  <c r="F244" i="6"/>
  <c r="D244" i="6"/>
  <c r="C244" i="6"/>
  <c r="G243" i="6"/>
  <c r="F243" i="6"/>
  <c r="D243" i="6"/>
  <c r="C243" i="6"/>
  <c r="G242" i="6"/>
  <c r="F242" i="6"/>
  <c r="D242" i="6"/>
  <c r="H244" i="6" s="1"/>
  <c r="C242" i="6"/>
  <c r="I241" i="6"/>
  <c r="G241" i="6"/>
  <c r="F241" i="6"/>
  <c r="D241" i="6"/>
  <c r="C241" i="6"/>
  <c r="G240" i="6"/>
  <c r="F240" i="6"/>
  <c r="D240" i="6"/>
  <c r="C240" i="6"/>
  <c r="G239" i="6"/>
  <c r="F239" i="6"/>
  <c r="D239" i="6"/>
  <c r="H241" i="6" s="1"/>
  <c r="C239" i="6"/>
  <c r="I238" i="6"/>
  <c r="G238" i="6"/>
  <c r="F238" i="6"/>
  <c r="D238" i="6"/>
  <c r="C238" i="6"/>
  <c r="G237" i="6"/>
  <c r="F237" i="6"/>
  <c r="D237" i="6"/>
  <c r="C237" i="6"/>
  <c r="G236" i="6"/>
  <c r="F236" i="6"/>
  <c r="D236" i="6"/>
  <c r="H238" i="6" s="1"/>
  <c r="C236" i="6"/>
  <c r="I235" i="6"/>
  <c r="G235" i="6"/>
  <c r="F235" i="6"/>
  <c r="D235" i="6"/>
  <c r="C235" i="6"/>
  <c r="G234" i="6"/>
  <c r="F234" i="6"/>
  <c r="D234" i="6"/>
  <c r="C234" i="6"/>
  <c r="G233" i="6"/>
  <c r="F233" i="6"/>
  <c r="D233" i="6"/>
  <c r="H235" i="6" s="1"/>
  <c r="C233" i="6"/>
  <c r="I232" i="6"/>
  <c r="G232" i="6"/>
  <c r="F232" i="6"/>
  <c r="D232" i="6"/>
  <c r="C232" i="6"/>
  <c r="G231" i="6"/>
  <c r="F231" i="6"/>
  <c r="D231" i="6"/>
  <c r="C231" i="6"/>
  <c r="G230" i="6"/>
  <c r="F230" i="6"/>
  <c r="D230" i="6"/>
  <c r="H232" i="6" s="1"/>
  <c r="C230" i="6"/>
  <c r="I229" i="6"/>
  <c r="G229" i="6"/>
  <c r="F229" i="6"/>
  <c r="D229" i="6"/>
  <c r="C229" i="6"/>
  <c r="G228" i="6"/>
  <c r="F228" i="6"/>
  <c r="D228" i="6"/>
  <c r="C228" i="6"/>
  <c r="G227" i="6"/>
  <c r="F227" i="6"/>
  <c r="D227" i="6"/>
  <c r="H229" i="6" s="1"/>
  <c r="C227" i="6"/>
  <c r="I226" i="6"/>
  <c r="G226" i="6"/>
  <c r="F226" i="6"/>
  <c r="D226" i="6"/>
  <c r="C226" i="6"/>
  <c r="G225" i="6"/>
  <c r="F225" i="6"/>
  <c r="D225" i="6"/>
  <c r="C225" i="6"/>
  <c r="G224" i="6"/>
  <c r="F224" i="6"/>
  <c r="D224" i="6"/>
  <c r="H226" i="6" s="1"/>
  <c r="C224" i="6"/>
  <c r="I223" i="6"/>
  <c r="G223" i="6"/>
  <c r="F223" i="6"/>
  <c r="D223" i="6"/>
  <c r="C223" i="6"/>
  <c r="G222" i="6"/>
  <c r="F222" i="6"/>
  <c r="D222" i="6"/>
  <c r="C222" i="6"/>
  <c r="G221" i="6"/>
  <c r="F221" i="6"/>
  <c r="D221" i="6"/>
  <c r="H223" i="6" s="1"/>
  <c r="C221" i="6"/>
  <c r="I220" i="6"/>
  <c r="G220" i="6"/>
  <c r="F220" i="6"/>
  <c r="D220" i="6"/>
  <c r="C220" i="6"/>
  <c r="G219" i="6"/>
  <c r="F219" i="6"/>
  <c r="D219" i="6"/>
  <c r="C219" i="6"/>
  <c r="G218" i="6"/>
  <c r="F218" i="6"/>
  <c r="D218" i="6"/>
  <c r="H220" i="6" s="1"/>
  <c r="C218" i="6"/>
  <c r="I217" i="6"/>
  <c r="G217" i="6"/>
  <c r="F217" i="6"/>
  <c r="D217" i="6"/>
  <c r="C217" i="6"/>
  <c r="G216" i="6"/>
  <c r="F216" i="6"/>
  <c r="D216" i="6"/>
  <c r="C216" i="6"/>
  <c r="G215" i="6"/>
  <c r="F215" i="6"/>
  <c r="D215" i="6"/>
  <c r="H217" i="6" s="1"/>
  <c r="C215" i="6"/>
  <c r="I214" i="6"/>
  <c r="G214" i="6"/>
  <c r="F214" i="6"/>
  <c r="D214" i="6"/>
  <c r="C214" i="6"/>
  <c r="G213" i="6"/>
  <c r="F213" i="6"/>
  <c r="D213" i="6"/>
  <c r="C213" i="6"/>
  <c r="G212" i="6"/>
  <c r="F212" i="6"/>
  <c r="D212" i="6"/>
  <c r="H214" i="6" s="1"/>
  <c r="C212" i="6"/>
  <c r="I211" i="6"/>
  <c r="G211" i="6"/>
  <c r="F211" i="6"/>
  <c r="D211" i="6"/>
  <c r="C211" i="6"/>
  <c r="G210" i="6"/>
  <c r="F210" i="6"/>
  <c r="D210" i="6"/>
  <c r="C210" i="6"/>
  <c r="G209" i="6"/>
  <c r="F209" i="6"/>
  <c r="D209" i="6"/>
  <c r="H211" i="6" s="1"/>
  <c r="C209" i="6"/>
  <c r="I208" i="6"/>
  <c r="G208" i="6"/>
  <c r="F208" i="6"/>
  <c r="D208" i="6"/>
  <c r="C208" i="6"/>
  <c r="G207" i="6"/>
  <c r="F207" i="6"/>
  <c r="D207" i="6"/>
  <c r="C207" i="6"/>
  <c r="G206" i="6"/>
  <c r="F206" i="6"/>
  <c r="D206" i="6"/>
  <c r="H208" i="6" s="1"/>
  <c r="C206" i="6"/>
  <c r="I205" i="6"/>
  <c r="F205" i="6"/>
  <c r="G205" i="6" s="1"/>
  <c r="D205" i="6"/>
  <c r="C205" i="6"/>
  <c r="G204" i="6"/>
  <c r="F204" i="6"/>
  <c r="D204" i="6"/>
  <c r="C204" i="6"/>
  <c r="G203" i="6"/>
  <c r="F203" i="6"/>
  <c r="D203" i="6"/>
  <c r="H205" i="6" s="1"/>
  <c r="C203" i="6"/>
  <c r="I202" i="6"/>
  <c r="G202" i="6"/>
  <c r="F202" i="6"/>
  <c r="D202" i="6"/>
  <c r="C202" i="6"/>
  <c r="G201" i="6"/>
  <c r="F201" i="6"/>
  <c r="D201" i="6"/>
  <c r="C201" i="6"/>
  <c r="G200" i="6"/>
  <c r="F200" i="6"/>
  <c r="D200" i="6"/>
  <c r="H202" i="6" s="1"/>
  <c r="C200" i="6"/>
  <c r="I199" i="6"/>
  <c r="G199" i="6"/>
  <c r="F199" i="6"/>
  <c r="D199" i="6"/>
  <c r="C199" i="6"/>
  <c r="G198" i="6"/>
  <c r="F198" i="6"/>
  <c r="D198" i="6"/>
  <c r="C198" i="6"/>
  <c r="G197" i="6"/>
  <c r="F197" i="6"/>
  <c r="D197" i="6"/>
  <c r="H199" i="6" s="1"/>
  <c r="C197" i="6"/>
  <c r="I196" i="6"/>
  <c r="G196" i="6"/>
  <c r="F196" i="6"/>
  <c r="D196" i="6"/>
  <c r="C196" i="6"/>
  <c r="G195" i="6"/>
  <c r="F195" i="6"/>
  <c r="D195" i="6"/>
  <c r="C195" i="6"/>
  <c r="G194" i="6"/>
  <c r="F194" i="6"/>
  <c r="D194" i="6"/>
  <c r="H196" i="6" s="1"/>
  <c r="C194" i="6"/>
  <c r="I193" i="6"/>
  <c r="G193" i="6"/>
  <c r="F193" i="6"/>
  <c r="D193" i="6"/>
  <c r="C193" i="6"/>
  <c r="G192" i="6"/>
  <c r="F192" i="6"/>
  <c r="D192" i="6"/>
  <c r="C192" i="6"/>
  <c r="G191" i="6"/>
  <c r="F191" i="6"/>
  <c r="D191" i="6"/>
  <c r="H193" i="6" s="1"/>
  <c r="C191" i="6"/>
  <c r="I190" i="6"/>
  <c r="G190" i="6"/>
  <c r="F190" i="6"/>
  <c r="D190" i="6"/>
  <c r="C190" i="6"/>
  <c r="G189" i="6"/>
  <c r="F189" i="6"/>
  <c r="D189" i="6"/>
  <c r="C189" i="6"/>
  <c r="G188" i="6"/>
  <c r="F188" i="6"/>
  <c r="D188" i="6"/>
  <c r="H190" i="6" s="1"/>
  <c r="C188" i="6"/>
  <c r="I187" i="6"/>
  <c r="G187" i="6"/>
  <c r="F187" i="6"/>
  <c r="D187" i="6"/>
  <c r="C187" i="6"/>
  <c r="G186" i="6"/>
  <c r="F186" i="6"/>
  <c r="D186" i="6"/>
  <c r="C186" i="6"/>
  <c r="G185" i="6"/>
  <c r="F185" i="6"/>
  <c r="D185" i="6"/>
  <c r="H187" i="6" s="1"/>
  <c r="C185" i="6"/>
  <c r="I184" i="6"/>
  <c r="G184" i="6"/>
  <c r="F184" i="6"/>
  <c r="D184" i="6"/>
  <c r="C184" i="6"/>
  <c r="G183" i="6"/>
  <c r="F183" i="6"/>
  <c r="D183" i="6"/>
  <c r="C183" i="6"/>
  <c r="G182" i="6"/>
  <c r="F182" i="6"/>
  <c r="D182" i="6"/>
  <c r="H184" i="6" s="1"/>
  <c r="C182" i="6"/>
  <c r="I181" i="6"/>
  <c r="G181" i="6"/>
  <c r="F181" i="6"/>
  <c r="D181" i="6"/>
  <c r="C181" i="6"/>
  <c r="G180" i="6"/>
  <c r="F180" i="6"/>
  <c r="D180" i="6"/>
  <c r="C180" i="6"/>
  <c r="G179" i="6"/>
  <c r="F179" i="6"/>
  <c r="D179" i="6"/>
  <c r="H181" i="6" s="1"/>
  <c r="C179" i="6"/>
  <c r="I178" i="6"/>
  <c r="G178" i="6"/>
  <c r="F178" i="6"/>
  <c r="D178" i="6"/>
  <c r="C178" i="6"/>
  <c r="G177" i="6"/>
  <c r="F177" i="6"/>
  <c r="D177" i="6"/>
  <c r="C177" i="6"/>
  <c r="G176" i="6"/>
  <c r="F176" i="6"/>
  <c r="D176" i="6"/>
  <c r="H178" i="6" s="1"/>
  <c r="C176" i="6"/>
  <c r="I175" i="6"/>
  <c r="G175" i="6"/>
  <c r="F175" i="6"/>
  <c r="D175" i="6"/>
  <c r="C175" i="6"/>
  <c r="G174" i="6"/>
  <c r="F174" i="6"/>
  <c r="D174" i="6"/>
  <c r="C174" i="6"/>
  <c r="G173" i="6"/>
  <c r="F173" i="6"/>
  <c r="D173" i="6"/>
  <c r="H175" i="6" s="1"/>
  <c r="C173" i="6"/>
  <c r="I172" i="6"/>
  <c r="G172" i="6"/>
  <c r="F172" i="6"/>
  <c r="D172" i="6"/>
  <c r="C172" i="6"/>
  <c r="G171" i="6"/>
  <c r="F171" i="6"/>
  <c r="D171" i="6"/>
  <c r="C171" i="6"/>
  <c r="G170" i="6"/>
  <c r="F170" i="6"/>
  <c r="D170" i="6"/>
  <c r="H172" i="6" s="1"/>
  <c r="C170" i="6"/>
  <c r="I169" i="6"/>
  <c r="G169" i="6"/>
  <c r="F169" i="6"/>
  <c r="D169" i="6"/>
  <c r="C169" i="6"/>
  <c r="G168" i="6"/>
  <c r="F168" i="6"/>
  <c r="D168" i="6"/>
  <c r="C168" i="6"/>
  <c r="G167" i="6"/>
  <c r="F167" i="6"/>
  <c r="D167" i="6"/>
  <c r="H169" i="6" s="1"/>
  <c r="C167" i="6"/>
  <c r="I166" i="6"/>
  <c r="G166" i="6"/>
  <c r="F166" i="6"/>
  <c r="D166" i="6"/>
  <c r="C166" i="6"/>
  <c r="G165" i="6"/>
  <c r="F165" i="6"/>
  <c r="D165" i="6"/>
  <c r="C165" i="6"/>
  <c r="G164" i="6"/>
  <c r="F164" i="6"/>
  <c r="D164" i="6"/>
  <c r="H166" i="6" s="1"/>
  <c r="C164" i="6"/>
  <c r="I163" i="6"/>
  <c r="G163" i="6"/>
  <c r="F163" i="6"/>
  <c r="D163" i="6"/>
  <c r="C163" i="6"/>
  <c r="G162" i="6"/>
  <c r="F162" i="6"/>
  <c r="D162" i="6"/>
  <c r="C162" i="6"/>
  <c r="G161" i="6"/>
  <c r="F161" i="6"/>
  <c r="D161" i="6"/>
  <c r="H163" i="6" s="1"/>
  <c r="C161" i="6"/>
  <c r="I160" i="6"/>
  <c r="G160" i="6"/>
  <c r="F160" i="6"/>
  <c r="D160" i="6"/>
  <c r="C160" i="6"/>
  <c r="G159" i="6"/>
  <c r="F159" i="6"/>
  <c r="D159" i="6"/>
  <c r="C159" i="6"/>
  <c r="G158" i="6"/>
  <c r="F158" i="6"/>
  <c r="D158" i="6"/>
  <c r="H160" i="6" s="1"/>
  <c r="C158" i="6"/>
  <c r="I157" i="6"/>
  <c r="G157" i="6"/>
  <c r="F157" i="6"/>
  <c r="D157" i="6"/>
  <c r="C157" i="6"/>
  <c r="G156" i="6"/>
  <c r="F156" i="6"/>
  <c r="D156" i="6"/>
  <c r="C156" i="6"/>
  <c r="G155" i="6"/>
  <c r="F155" i="6"/>
  <c r="D155" i="6"/>
  <c r="H157" i="6" s="1"/>
  <c r="C155" i="6"/>
  <c r="I154" i="6"/>
  <c r="G154" i="6"/>
  <c r="F154" i="6"/>
  <c r="D154" i="6"/>
  <c r="C154" i="6"/>
  <c r="G153" i="6"/>
  <c r="F153" i="6"/>
  <c r="D153" i="6"/>
  <c r="C153" i="6"/>
  <c r="G152" i="6"/>
  <c r="F152" i="6"/>
  <c r="D152" i="6"/>
  <c r="H154" i="6" s="1"/>
  <c r="C152" i="6"/>
  <c r="I151" i="6"/>
  <c r="G151" i="6"/>
  <c r="F151" i="6"/>
  <c r="D151" i="6"/>
  <c r="C151" i="6"/>
  <c r="G150" i="6"/>
  <c r="F150" i="6"/>
  <c r="D150" i="6"/>
  <c r="C150" i="6"/>
  <c r="G149" i="6"/>
  <c r="F149" i="6"/>
  <c r="D149" i="6"/>
  <c r="H151" i="6" s="1"/>
  <c r="C149" i="6"/>
  <c r="I148" i="6"/>
  <c r="G148" i="6"/>
  <c r="F148" i="6"/>
  <c r="D148" i="6"/>
  <c r="C148" i="6"/>
  <c r="G147" i="6"/>
  <c r="F147" i="6"/>
  <c r="D147" i="6"/>
  <c r="C147" i="6"/>
  <c r="G146" i="6"/>
  <c r="F146" i="6"/>
  <c r="D146" i="6"/>
  <c r="H148" i="6" s="1"/>
  <c r="C146" i="6"/>
  <c r="I145" i="6"/>
  <c r="G145" i="6"/>
  <c r="F145" i="6"/>
  <c r="D145" i="6"/>
  <c r="C145" i="6"/>
  <c r="G144" i="6"/>
  <c r="F144" i="6"/>
  <c r="D144" i="6"/>
  <c r="C144" i="6"/>
  <c r="G143" i="6"/>
  <c r="F143" i="6"/>
  <c r="D143" i="6"/>
  <c r="H145" i="6" s="1"/>
  <c r="C143" i="6"/>
  <c r="I142" i="6"/>
  <c r="G142" i="6"/>
  <c r="F142" i="6"/>
  <c r="D142" i="6"/>
  <c r="C142" i="6"/>
  <c r="G141" i="6"/>
  <c r="F141" i="6"/>
  <c r="D141" i="6"/>
  <c r="C141" i="6"/>
  <c r="G140" i="6"/>
  <c r="F140" i="6"/>
  <c r="D140" i="6"/>
  <c r="H142" i="6" s="1"/>
  <c r="C140" i="6"/>
  <c r="I139" i="6"/>
  <c r="G139" i="6"/>
  <c r="F139" i="6"/>
  <c r="D139" i="6"/>
  <c r="C139" i="6"/>
  <c r="G138" i="6"/>
  <c r="F138" i="6"/>
  <c r="D138" i="6"/>
  <c r="C138" i="6"/>
  <c r="G137" i="6"/>
  <c r="F137" i="6"/>
  <c r="D137" i="6"/>
  <c r="H139" i="6" s="1"/>
  <c r="C137" i="6"/>
  <c r="I136" i="6"/>
  <c r="G136" i="6"/>
  <c r="F136" i="6"/>
  <c r="D136" i="6"/>
  <c r="C136" i="6"/>
  <c r="G135" i="6"/>
  <c r="F135" i="6"/>
  <c r="D135" i="6"/>
  <c r="C135" i="6"/>
  <c r="G134" i="6"/>
  <c r="F134" i="6"/>
  <c r="D134" i="6"/>
  <c r="H136" i="6" s="1"/>
  <c r="C134" i="6"/>
  <c r="I133" i="6"/>
  <c r="G133" i="6"/>
  <c r="F133" i="6"/>
  <c r="D133" i="6"/>
  <c r="C133" i="6"/>
  <c r="G132" i="6"/>
  <c r="F132" i="6"/>
  <c r="D132" i="6"/>
  <c r="C132" i="6"/>
  <c r="G131" i="6"/>
  <c r="F131" i="6"/>
  <c r="D131" i="6"/>
  <c r="H133" i="6" s="1"/>
  <c r="C131" i="6"/>
  <c r="I130" i="6"/>
  <c r="G130" i="6"/>
  <c r="F130" i="6"/>
  <c r="D130" i="6"/>
  <c r="C130" i="6"/>
  <c r="G129" i="6"/>
  <c r="F129" i="6"/>
  <c r="D129" i="6"/>
  <c r="C129" i="6"/>
  <c r="G128" i="6"/>
  <c r="F128" i="6"/>
  <c r="D128" i="6"/>
  <c r="H130" i="6" s="1"/>
  <c r="C128" i="6"/>
  <c r="I127" i="6"/>
  <c r="G127" i="6"/>
  <c r="F127" i="6"/>
  <c r="D127" i="6"/>
  <c r="C127" i="6"/>
  <c r="G126" i="6"/>
  <c r="F126" i="6"/>
  <c r="D126" i="6"/>
  <c r="C126" i="6"/>
  <c r="G125" i="6"/>
  <c r="F125" i="6"/>
  <c r="D125" i="6"/>
  <c r="H127" i="6" s="1"/>
  <c r="C125" i="6"/>
  <c r="I124" i="6"/>
  <c r="G124" i="6"/>
  <c r="F124" i="6"/>
  <c r="D124" i="6"/>
  <c r="C124" i="6"/>
  <c r="G123" i="6"/>
  <c r="F123" i="6"/>
  <c r="D123" i="6"/>
  <c r="C123" i="6"/>
  <c r="G122" i="6"/>
  <c r="F122" i="6"/>
  <c r="D122" i="6"/>
  <c r="H124" i="6" s="1"/>
  <c r="C122" i="6"/>
  <c r="I121" i="6"/>
  <c r="G121" i="6"/>
  <c r="F121" i="6"/>
  <c r="D121" i="6"/>
  <c r="C121" i="6"/>
  <c r="G120" i="6"/>
  <c r="F120" i="6"/>
  <c r="D120" i="6"/>
  <c r="C120" i="6"/>
  <c r="G119" i="6"/>
  <c r="F119" i="6"/>
  <c r="D119" i="6"/>
  <c r="H121" i="6" s="1"/>
  <c r="C119" i="6"/>
  <c r="I118" i="6"/>
  <c r="G118" i="6"/>
  <c r="F118" i="6"/>
  <c r="D118" i="6"/>
  <c r="C118" i="6"/>
  <c r="G117" i="6"/>
  <c r="F117" i="6"/>
  <c r="D117" i="6"/>
  <c r="C117" i="6"/>
  <c r="G116" i="6"/>
  <c r="F116" i="6"/>
  <c r="D116" i="6"/>
  <c r="H118" i="6" s="1"/>
  <c r="C116" i="6"/>
  <c r="I115" i="6"/>
  <c r="G115" i="6"/>
  <c r="F115" i="6"/>
  <c r="D115" i="6"/>
  <c r="C115" i="6"/>
  <c r="G114" i="6"/>
  <c r="F114" i="6"/>
  <c r="D114" i="6"/>
  <c r="C114" i="6"/>
  <c r="G113" i="6"/>
  <c r="F113" i="6"/>
  <c r="D113" i="6"/>
  <c r="H115" i="6" s="1"/>
  <c r="C113" i="6"/>
  <c r="I112" i="6"/>
  <c r="G112" i="6"/>
  <c r="F112" i="6"/>
  <c r="D112" i="6"/>
  <c r="C112" i="6"/>
  <c r="G111" i="6"/>
  <c r="F111" i="6"/>
  <c r="D111" i="6"/>
  <c r="C111" i="6"/>
  <c r="G110" i="6"/>
  <c r="F110" i="6"/>
  <c r="D110" i="6"/>
  <c r="H112" i="6" s="1"/>
  <c r="C110" i="6"/>
  <c r="I109" i="6"/>
  <c r="G109" i="6"/>
  <c r="F109" i="6"/>
  <c r="D109" i="6"/>
  <c r="C109" i="6"/>
  <c r="G108" i="6"/>
  <c r="F108" i="6"/>
  <c r="D108" i="6"/>
  <c r="C108" i="6"/>
  <c r="G107" i="6"/>
  <c r="F107" i="6"/>
  <c r="D107" i="6"/>
  <c r="H109" i="6" s="1"/>
  <c r="C107" i="6"/>
  <c r="I106" i="6"/>
  <c r="G106" i="6"/>
  <c r="F106" i="6"/>
  <c r="D106" i="6"/>
  <c r="C106" i="6"/>
  <c r="G105" i="6"/>
  <c r="F105" i="6"/>
  <c r="D105" i="6"/>
  <c r="C105" i="6"/>
  <c r="G104" i="6"/>
  <c r="F104" i="6"/>
  <c r="D104" i="6"/>
  <c r="H106" i="6" s="1"/>
  <c r="C104" i="6"/>
  <c r="I103" i="6"/>
  <c r="G103" i="6"/>
  <c r="F103" i="6"/>
  <c r="D103" i="6"/>
  <c r="C103" i="6"/>
  <c r="G102" i="6"/>
  <c r="F102" i="6"/>
  <c r="D102" i="6"/>
  <c r="C102" i="6"/>
  <c r="G101" i="6"/>
  <c r="F101" i="6"/>
  <c r="D101" i="6"/>
  <c r="H103" i="6" s="1"/>
  <c r="C101" i="6"/>
  <c r="I100" i="6"/>
  <c r="G100" i="6"/>
  <c r="F100" i="6"/>
  <c r="D100" i="6"/>
  <c r="C100" i="6"/>
  <c r="G99" i="6"/>
  <c r="F99" i="6"/>
  <c r="D99" i="6"/>
  <c r="C99" i="6"/>
  <c r="G98" i="6"/>
  <c r="F98" i="6"/>
  <c r="D98" i="6"/>
  <c r="H100" i="6" s="1"/>
  <c r="C98" i="6"/>
  <c r="I97" i="6"/>
  <c r="G97" i="6"/>
  <c r="F97" i="6"/>
  <c r="D97" i="6"/>
  <c r="C97" i="6"/>
  <c r="G96" i="6"/>
  <c r="F96" i="6"/>
  <c r="D96" i="6"/>
  <c r="C96" i="6"/>
  <c r="G95" i="6"/>
  <c r="F95" i="6"/>
  <c r="D95" i="6"/>
  <c r="H97" i="6" s="1"/>
  <c r="C95" i="6"/>
  <c r="I94" i="6"/>
  <c r="G94" i="6"/>
  <c r="F94" i="6"/>
  <c r="D94" i="6"/>
  <c r="C94" i="6"/>
  <c r="G93" i="6"/>
  <c r="F93" i="6"/>
  <c r="D93" i="6"/>
  <c r="C93" i="6"/>
  <c r="G92" i="6"/>
  <c r="F92" i="6"/>
  <c r="D92" i="6"/>
  <c r="H94" i="6" s="1"/>
  <c r="C92" i="6"/>
  <c r="I91" i="6"/>
  <c r="G91" i="6"/>
  <c r="F91" i="6"/>
  <c r="D91" i="6"/>
  <c r="C91" i="6"/>
  <c r="G90" i="6"/>
  <c r="F90" i="6"/>
  <c r="D90" i="6"/>
  <c r="C90" i="6"/>
  <c r="G89" i="6"/>
  <c r="F89" i="6"/>
  <c r="D89" i="6"/>
  <c r="H91" i="6" s="1"/>
  <c r="C89" i="6"/>
  <c r="I88" i="6"/>
  <c r="G88" i="6"/>
  <c r="F88" i="6"/>
  <c r="D88" i="6"/>
  <c r="C88" i="6"/>
  <c r="G87" i="6"/>
  <c r="F87" i="6"/>
  <c r="D87" i="6"/>
  <c r="C87" i="6"/>
  <c r="G86" i="6"/>
  <c r="F86" i="6"/>
  <c r="D86" i="6"/>
  <c r="H88" i="6" s="1"/>
  <c r="C86" i="6"/>
  <c r="I85" i="6"/>
  <c r="G85" i="6"/>
  <c r="F85" i="6"/>
  <c r="D85" i="6"/>
  <c r="C85" i="6"/>
  <c r="G84" i="6"/>
  <c r="F84" i="6"/>
  <c r="D84" i="6"/>
  <c r="C84" i="6"/>
  <c r="G83" i="6"/>
  <c r="F83" i="6"/>
  <c r="D83" i="6"/>
  <c r="H85" i="6" s="1"/>
  <c r="C83" i="6"/>
  <c r="I82" i="6"/>
  <c r="G82" i="6"/>
  <c r="F82" i="6"/>
  <c r="D82" i="6"/>
  <c r="C82" i="6"/>
  <c r="G81" i="6"/>
  <c r="F81" i="6"/>
  <c r="D81" i="6"/>
  <c r="C81" i="6"/>
  <c r="G80" i="6"/>
  <c r="F80" i="6"/>
  <c r="D80" i="6"/>
  <c r="H82" i="6" s="1"/>
  <c r="C80" i="6"/>
  <c r="I79" i="6"/>
  <c r="G79" i="6"/>
  <c r="F79" i="6"/>
  <c r="D79" i="6"/>
  <c r="C79" i="6"/>
  <c r="G78" i="6"/>
  <c r="F78" i="6"/>
  <c r="D78" i="6"/>
  <c r="C78" i="6"/>
  <c r="G77" i="6"/>
  <c r="F77" i="6"/>
  <c r="D77" i="6"/>
  <c r="H79" i="6" s="1"/>
  <c r="C77" i="6"/>
  <c r="I76" i="6"/>
  <c r="G76" i="6"/>
  <c r="F76" i="6"/>
  <c r="D76" i="6"/>
  <c r="C76" i="6"/>
  <c r="G75" i="6"/>
  <c r="F75" i="6"/>
  <c r="D75" i="6"/>
  <c r="C75" i="6"/>
  <c r="G74" i="6"/>
  <c r="F74" i="6"/>
  <c r="D74" i="6"/>
  <c r="H76" i="6" s="1"/>
  <c r="C74" i="6"/>
  <c r="I73" i="6"/>
  <c r="G73" i="6"/>
  <c r="F73" i="6"/>
  <c r="D73" i="6"/>
  <c r="C73" i="6"/>
  <c r="G72" i="6"/>
  <c r="F72" i="6"/>
  <c r="D72" i="6"/>
  <c r="C72" i="6"/>
  <c r="G71" i="6"/>
  <c r="F71" i="6"/>
  <c r="D71" i="6"/>
  <c r="H73" i="6" s="1"/>
  <c r="C71" i="6"/>
  <c r="I70" i="6"/>
  <c r="G70" i="6"/>
  <c r="F70" i="6"/>
  <c r="D70" i="6"/>
  <c r="C70" i="6"/>
  <c r="G69" i="6"/>
  <c r="F69" i="6"/>
  <c r="D69" i="6"/>
  <c r="C69" i="6"/>
  <c r="G68" i="6"/>
  <c r="F68" i="6"/>
  <c r="D68" i="6"/>
  <c r="H70" i="6" s="1"/>
  <c r="C68" i="6"/>
  <c r="I67" i="6"/>
  <c r="G67" i="6"/>
  <c r="F67" i="6"/>
  <c r="D67" i="6"/>
  <c r="C67" i="6"/>
  <c r="G66" i="6"/>
  <c r="F66" i="6"/>
  <c r="D66" i="6"/>
  <c r="C66" i="6"/>
  <c r="G65" i="6"/>
  <c r="F65" i="6"/>
  <c r="D65" i="6"/>
  <c r="H67" i="6" s="1"/>
  <c r="C65" i="6"/>
  <c r="I64" i="6"/>
  <c r="G64" i="6"/>
  <c r="F64" i="6"/>
  <c r="D64" i="6"/>
  <c r="C64" i="6"/>
  <c r="G63" i="6"/>
  <c r="F63" i="6"/>
  <c r="D63" i="6"/>
  <c r="C63" i="6"/>
  <c r="G62" i="6"/>
  <c r="F62" i="6"/>
  <c r="D62" i="6"/>
  <c r="H64" i="6" s="1"/>
  <c r="C62" i="6"/>
  <c r="I61" i="6"/>
  <c r="G61" i="6"/>
  <c r="F61" i="6"/>
  <c r="D61" i="6"/>
  <c r="C61" i="6"/>
  <c r="G60" i="6"/>
  <c r="F60" i="6"/>
  <c r="D60" i="6"/>
  <c r="C60" i="6"/>
  <c r="G59" i="6"/>
  <c r="F59" i="6"/>
  <c r="D59" i="6"/>
  <c r="H61" i="6" s="1"/>
  <c r="C59" i="6"/>
  <c r="I58" i="6"/>
  <c r="G58" i="6"/>
  <c r="F58" i="6"/>
  <c r="D58" i="6"/>
  <c r="C58" i="6"/>
  <c r="G57" i="6"/>
  <c r="F57" i="6"/>
  <c r="D57" i="6"/>
  <c r="C57" i="6"/>
  <c r="G56" i="6"/>
  <c r="F56" i="6"/>
  <c r="D56" i="6"/>
  <c r="H58" i="6" s="1"/>
  <c r="C56" i="6"/>
  <c r="I55" i="6"/>
  <c r="G55" i="6"/>
  <c r="F55" i="6"/>
  <c r="D55" i="6"/>
  <c r="C55" i="6"/>
  <c r="G54" i="6"/>
  <c r="F54" i="6"/>
  <c r="D54" i="6"/>
  <c r="C54" i="6"/>
  <c r="G53" i="6"/>
  <c r="F53" i="6"/>
  <c r="D53" i="6"/>
  <c r="H55" i="6" s="1"/>
  <c r="C53" i="6"/>
  <c r="I52" i="6"/>
  <c r="G52" i="6"/>
  <c r="F52" i="6"/>
  <c r="D52" i="6"/>
  <c r="C52" i="6"/>
  <c r="G51" i="6"/>
  <c r="F51" i="6"/>
  <c r="D51" i="6"/>
  <c r="C51" i="6"/>
  <c r="G50" i="6"/>
  <c r="F50" i="6"/>
  <c r="D50" i="6"/>
  <c r="H52" i="6" s="1"/>
  <c r="C50" i="6"/>
  <c r="I49" i="6"/>
  <c r="G49" i="6"/>
  <c r="F49" i="6"/>
  <c r="D49" i="6"/>
  <c r="C49" i="6"/>
  <c r="G48" i="6"/>
  <c r="F48" i="6"/>
  <c r="D48" i="6"/>
  <c r="C48" i="6"/>
  <c r="G47" i="6"/>
  <c r="F47" i="6"/>
  <c r="D47" i="6"/>
  <c r="H49" i="6" s="1"/>
  <c r="C47" i="6"/>
  <c r="I46" i="6"/>
  <c r="G46" i="6"/>
  <c r="F46" i="6"/>
  <c r="D46" i="6"/>
  <c r="C46" i="6"/>
  <c r="G45" i="6"/>
  <c r="F45" i="6"/>
  <c r="D45" i="6"/>
  <c r="C45" i="6"/>
  <c r="G44" i="6"/>
  <c r="F44" i="6"/>
  <c r="D44" i="6"/>
  <c r="H46" i="6" s="1"/>
  <c r="C44" i="6"/>
  <c r="I43" i="6"/>
  <c r="G43" i="6"/>
  <c r="F43" i="6"/>
  <c r="D43" i="6"/>
  <c r="C43" i="6"/>
  <c r="G42" i="6"/>
  <c r="F42" i="6"/>
  <c r="D42" i="6"/>
  <c r="C42" i="6"/>
  <c r="G41" i="6"/>
  <c r="F41" i="6"/>
  <c r="D41" i="6"/>
  <c r="H43" i="6" s="1"/>
  <c r="C41" i="6"/>
  <c r="I40" i="6"/>
  <c r="G40" i="6"/>
  <c r="F40" i="6"/>
  <c r="D40" i="6"/>
  <c r="C40" i="6"/>
  <c r="G39" i="6"/>
  <c r="F39" i="6"/>
  <c r="D39" i="6"/>
  <c r="C39" i="6"/>
  <c r="G38" i="6"/>
  <c r="F38" i="6"/>
  <c r="D38" i="6"/>
  <c r="H40" i="6" s="1"/>
  <c r="C38" i="6"/>
  <c r="I37" i="6"/>
  <c r="G37" i="6"/>
  <c r="F37" i="6"/>
  <c r="D37" i="6"/>
  <c r="C37" i="6"/>
  <c r="G36" i="6"/>
  <c r="F36" i="6"/>
  <c r="D36" i="6"/>
  <c r="C36" i="6"/>
  <c r="G35" i="6"/>
  <c r="F35" i="6"/>
  <c r="D35" i="6"/>
  <c r="H37" i="6" s="1"/>
  <c r="C35" i="6"/>
  <c r="I34" i="6"/>
  <c r="G34" i="6"/>
  <c r="F34" i="6"/>
  <c r="D34" i="6"/>
  <c r="C34" i="6"/>
  <c r="G33" i="6"/>
  <c r="F33" i="6"/>
  <c r="D33" i="6"/>
  <c r="C33" i="6"/>
  <c r="G32" i="6"/>
  <c r="F32" i="6"/>
  <c r="D32" i="6"/>
  <c r="H34" i="6" s="1"/>
  <c r="C32" i="6"/>
  <c r="I31" i="6"/>
  <c r="G31" i="6"/>
  <c r="F31" i="6"/>
  <c r="D31" i="6"/>
  <c r="C31" i="6"/>
  <c r="G30" i="6"/>
  <c r="F30" i="6"/>
  <c r="D30" i="6"/>
  <c r="C30" i="6"/>
  <c r="G29" i="6"/>
  <c r="F29" i="6"/>
  <c r="D29" i="6"/>
  <c r="H31" i="6" s="1"/>
  <c r="C29" i="6"/>
  <c r="I28" i="6"/>
  <c r="G28" i="6"/>
  <c r="F28" i="6"/>
  <c r="D28" i="6"/>
  <c r="C28" i="6"/>
  <c r="G27" i="6"/>
  <c r="F27" i="6"/>
  <c r="D27" i="6"/>
  <c r="C27" i="6"/>
  <c r="G26" i="6"/>
  <c r="F26" i="6"/>
  <c r="D26" i="6"/>
  <c r="H28" i="6" s="1"/>
  <c r="C26" i="6"/>
  <c r="I25" i="6"/>
  <c r="G25" i="6"/>
  <c r="F25" i="6"/>
  <c r="D25" i="6"/>
  <c r="C25" i="6"/>
  <c r="G24" i="6"/>
  <c r="F24" i="6"/>
  <c r="D24" i="6"/>
  <c r="C24" i="6"/>
  <c r="G23" i="6"/>
  <c r="F23" i="6"/>
  <c r="D23" i="6"/>
  <c r="H25" i="6" s="1"/>
  <c r="C23" i="6"/>
  <c r="I22" i="6"/>
  <c r="G22" i="6"/>
  <c r="F22" i="6"/>
  <c r="D22" i="6"/>
  <c r="C22" i="6"/>
  <c r="G21" i="6"/>
  <c r="F21" i="6"/>
  <c r="D21" i="6"/>
  <c r="C21" i="6"/>
  <c r="G20" i="6"/>
  <c r="F20" i="6"/>
  <c r="D20" i="6"/>
  <c r="H22" i="6" s="1"/>
  <c r="C20" i="6"/>
  <c r="I19" i="6"/>
  <c r="G19" i="6"/>
  <c r="F19" i="6"/>
  <c r="D19" i="6"/>
  <c r="C19" i="6"/>
  <c r="G18" i="6"/>
  <c r="F18" i="6"/>
  <c r="D18" i="6"/>
  <c r="C18" i="6"/>
  <c r="G17" i="6"/>
  <c r="F17" i="6"/>
  <c r="D17" i="6"/>
  <c r="H19" i="6" s="1"/>
  <c r="C17" i="6"/>
  <c r="I16" i="6"/>
  <c r="G16" i="6"/>
  <c r="F16" i="6"/>
  <c r="D16" i="6"/>
  <c r="C16" i="6"/>
  <c r="G15" i="6"/>
  <c r="F15" i="6"/>
  <c r="D15" i="6"/>
  <c r="C15" i="6"/>
  <c r="G14" i="6"/>
  <c r="F14" i="6"/>
  <c r="D14" i="6"/>
  <c r="H16" i="6" s="1"/>
  <c r="C14" i="6"/>
  <c r="I13" i="6"/>
  <c r="G13" i="6"/>
  <c r="F13" i="6"/>
  <c r="D13" i="6"/>
  <c r="C13" i="6"/>
  <c r="F12" i="6"/>
  <c r="G12" i="6" s="1"/>
  <c r="D12" i="6"/>
  <c r="C12" i="6"/>
  <c r="G11" i="6"/>
  <c r="F11" i="6"/>
  <c r="D11" i="6"/>
  <c r="H13" i="6" s="1"/>
  <c r="C11" i="6"/>
  <c r="I10" i="6"/>
  <c r="G10" i="6"/>
  <c r="F10" i="6"/>
  <c r="D10" i="6"/>
  <c r="C10" i="6"/>
  <c r="G9" i="6"/>
  <c r="F9" i="6"/>
  <c r="C9" i="6"/>
  <c r="D9" i="6" s="1"/>
  <c r="G8" i="6"/>
  <c r="F8" i="6"/>
  <c r="D8" i="6"/>
  <c r="C8" i="6"/>
  <c r="I7" i="6"/>
  <c r="F7" i="6"/>
  <c r="G7" i="6" s="1"/>
  <c r="D7" i="6"/>
  <c r="C7" i="6"/>
  <c r="G6" i="6"/>
  <c r="F6" i="6"/>
  <c r="D6" i="6"/>
  <c r="C6" i="6"/>
  <c r="F5" i="6"/>
  <c r="G5" i="6" s="1"/>
  <c r="D5" i="6"/>
  <c r="H7" i="6" s="1"/>
  <c r="C5" i="6"/>
  <c r="I4" i="6"/>
  <c r="G4" i="6"/>
  <c r="F4" i="6"/>
  <c r="C4" i="6"/>
  <c r="D4" i="6" s="1"/>
  <c r="G3" i="6"/>
  <c r="F3" i="6"/>
  <c r="D3" i="6"/>
  <c r="C3" i="6"/>
  <c r="G2" i="6"/>
  <c r="F2" i="6"/>
  <c r="C2" i="6"/>
  <c r="D2" i="6" s="1"/>
  <c r="E3" i="4"/>
  <c r="G3" i="4"/>
  <c r="H3" i="4"/>
  <c r="I3" i="4" s="1"/>
  <c r="L3" i="4"/>
  <c r="M3" i="4"/>
  <c r="N3" i="4"/>
  <c r="O3" i="4"/>
  <c r="P3" i="4" s="1"/>
  <c r="X3" i="4"/>
  <c r="X4" i="4"/>
  <c r="E5" i="4"/>
  <c r="G5" i="4"/>
  <c r="H5" i="4"/>
  <c r="O5" i="4" s="1"/>
  <c r="P5" i="4" s="1"/>
  <c r="L5" i="4"/>
  <c r="M5" i="4"/>
  <c r="N5" i="4" s="1"/>
  <c r="X5" i="4"/>
  <c r="E6" i="4"/>
  <c r="G6" i="4"/>
  <c r="H6" i="4"/>
  <c r="I6" i="4" s="1"/>
  <c r="L6" i="4"/>
  <c r="M6" i="4"/>
  <c r="N6" i="4" s="1"/>
  <c r="O6" i="4"/>
  <c r="P6" i="4" s="1"/>
  <c r="X6" i="4"/>
  <c r="E7" i="4"/>
  <c r="G7" i="4"/>
  <c r="H7" i="4"/>
  <c r="O7" i="4" s="1"/>
  <c r="L7" i="4"/>
  <c r="M7" i="4"/>
  <c r="N7" i="4" s="1"/>
  <c r="X7" i="4"/>
  <c r="E8" i="4"/>
  <c r="E13" i="4" s="1"/>
  <c r="G8" i="4"/>
  <c r="G13" i="4" s="1"/>
  <c r="H8" i="4"/>
  <c r="I8" i="4" s="1"/>
  <c r="L8" i="4"/>
  <c r="M8" i="4"/>
  <c r="N8" i="4" s="1"/>
  <c r="N13" i="4" s="1"/>
  <c r="X8" i="4"/>
  <c r="X9" i="4"/>
  <c r="E10" i="4"/>
  <c r="E15" i="4" s="1"/>
  <c r="G10" i="4"/>
  <c r="G15" i="4" s="1"/>
  <c r="H10" i="4"/>
  <c r="O10" i="4" s="1"/>
  <c r="L10" i="4"/>
  <c r="M10" i="4"/>
  <c r="N10" i="4"/>
  <c r="X10" i="4"/>
  <c r="E11" i="4"/>
  <c r="G11" i="4"/>
  <c r="G16" i="4" s="1"/>
  <c r="H11" i="4"/>
  <c r="H16" i="4" s="1"/>
  <c r="L11" i="4"/>
  <c r="L16" i="4" s="1"/>
  <c r="M11" i="4"/>
  <c r="N11" i="4" s="1"/>
  <c r="X11" i="4"/>
  <c r="E12" i="4"/>
  <c r="G12" i="4"/>
  <c r="H12" i="4"/>
  <c r="I12" i="4" s="1"/>
  <c r="L12" i="4"/>
  <c r="L17" i="4" s="1"/>
  <c r="M12" i="4"/>
  <c r="M17" i="4" s="1"/>
  <c r="X12" i="4"/>
  <c r="D13" i="4"/>
  <c r="F13" i="4"/>
  <c r="J13" i="4"/>
  <c r="K13" i="4"/>
  <c r="L13" i="4"/>
  <c r="M13" i="4"/>
  <c r="U13" i="4"/>
  <c r="V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S14" i="4"/>
  <c r="U14" i="4"/>
  <c r="V14" i="4"/>
  <c r="X14" i="4"/>
  <c r="D15" i="4"/>
  <c r="F15" i="4"/>
  <c r="J15" i="4"/>
  <c r="K15" i="4"/>
  <c r="U15" i="4"/>
  <c r="X15" i="4" s="1"/>
  <c r="V15" i="4"/>
  <c r="D16" i="4"/>
  <c r="F16" i="4"/>
  <c r="J16" i="4"/>
  <c r="K16" i="4"/>
  <c r="U16" i="4"/>
  <c r="V16" i="4"/>
  <c r="D17" i="4"/>
  <c r="F17" i="4"/>
  <c r="G17" i="4"/>
  <c r="J17" i="4"/>
  <c r="K17" i="4"/>
  <c r="U17" i="4"/>
  <c r="V17" i="4"/>
  <c r="E19" i="4"/>
  <c r="G19" i="4"/>
  <c r="H19" i="4"/>
  <c r="O19" i="4" s="1"/>
  <c r="P19" i="4" s="1"/>
  <c r="L19" i="4"/>
  <c r="M19" i="4"/>
  <c r="N19" i="4" s="1"/>
  <c r="E21" i="4"/>
  <c r="G21" i="4"/>
  <c r="H21" i="4"/>
  <c r="O21" i="4" s="1"/>
  <c r="P21" i="4" s="1"/>
  <c r="I21" i="4"/>
  <c r="L21" i="4"/>
  <c r="M21" i="4"/>
  <c r="N21" i="4" s="1"/>
  <c r="E22" i="4"/>
  <c r="G22" i="4"/>
  <c r="H22" i="4"/>
  <c r="I22" i="4" s="1"/>
  <c r="L22" i="4"/>
  <c r="M22" i="4"/>
  <c r="N22" i="4" s="1"/>
  <c r="O22" i="4"/>
  <c r="P22" i="4" s="1"/>
  <c r="E23" i="4"/>
  <c r="G23" i="4"/>
  <c r="H23" i="4"/>
  <c r="I23" i="4" s="1"/>
  <c r="L23" i="4"/>
  <c r="M23" i="4"/>
  <c r="N23" i="4"/>
  <c r="O23" i="4"/>
  <c r="P23" i="4" s="1"/>
  <c r="E24" i="4"/>
  <c r="G24" i="4"/>
  <c r="H24" i="4"/>
  <c r="L24" i="4"/>
  <c r="M24" i="4"/>
  <c r="N24" i="4" s="1"/>
  <c r="N29" i="4" s="1"/>
  <c r="E26" i="4"/>
  <c r="E31" i="4" s="1"/>
  <c r="G26" i="4"/>
  <c r="G31" i="4" s="1"/>
  <c r="H26" i="4"/>
  <c r="I26" i="4" s="1"/>
  <c r="L26" i="4"/>
  <c r="M26" i="4"/>
  <c r="N26" i="4" s="1"/>
  <c r="E27" i="4"/>
  <c r="G27" i="4"/>
  <c r="G32" i="4" s="1"/>
  <c r="H27" i="4"/>
  <c r="O27" i="4" s="1"/>
  <c r="I27" i="4"/>
  <c r="L27" i="4"/>
  <c r="L32" i="4" s="1"/>
  <c r="M27" i="4"/>
  <c r="N27" i="4" s="1"/>
  <c r="E28" i="4"/>
  <c r="E33" i="4" s="1"/>
  <c r="G28" i="4"/>
  <c r="G33" i="4" s="1"/>
  <c r="H28" i="4"/>
  <c r="H33" i="4" s="1"/>
  <c r="L28" i="4"/>
  <c r="M28" i="4"/>
  <c r="N28" i="4"/>
  <c r="N33" i="4" s="1"/>
  <c r="D29" i="4"/>
  <c r="E29" i="4"/>
  <c r="F29" i="4"/>
  <c r="J29" i="4"/>
  <c r="K29" i="4"/>
  <c r="L29" i="4"/>
  <c r="U29" i="4"/>
  <c r="V29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S30" i="4"/>
  <c r="U30" i="4"/>
  <c r="V30" i="4"/>
  <c r="D31" i="4"/>
  <c r="F31" i="4"/>
  <c r="J31" i="4"/>
  <c r="K31" i="4"/>
  <c r="U31" i="4"/>
  <c r="V31" i="4"/>
  <c r="D32" i="4"/>
  <c r="E32" i="4"/>
  <c r="F32" i="4"/>
  <c r="J32" i="4"/>
  <c r="K32" i="4"/>
  <c r="M32" i="4"/>
  <c r="U32" i="4"/>
  <c r="V32" i="4"/>
  <c r="D33" i="4"/>
  <c r="F33" i="4"/>
  <c r="J33" i="4"/>
  <c r="K33" i="4"/>
  <c r="L33" i="4"/>
  <c r="M33" i="4"/>
  <c r="U33" i="4"/>
  <c r="V33" i="4"/>
  <c r="E35" i="4"/>
  <c r="G35" i="4"/>
  <c r="H35" i="4"/>
  <c r="O35" i="4" s="1"/>
  <c r="P35" i="4" s="1"/>
  <c r="L35" i="4"/>
  <c r="M35" i="4"/>
  <c r="N35" i="4" s="1"/>
  <c r="X35" i="4"/>
  <c r="X36" i="4"/>
  <c r="E37" i="4"/>
  <c r="G37" i="4"/>
  <c r="H37" i="4"/>
  <c r="I37" i="4" s="1"/>
  <c r="L37" i="4"/>
  <c r="M37" i="4"/>
  <c r="N37" i="4"/>
  <c r="X37" i="4"/>
  <c r="E38" i="4"/>
  <c r="G38" i="4"/>
  <c r="H38" i="4"/>
  <c r="I38" i="4" s="1"/>
  <c r="L38" i="4"/>
  <c r="M38" i="4"/>
  <c r="N38" i="4" s="1"/>
  <c r="X38" i="4"/>
  <c r="E39" i="4"/>
  <c r="G39" i="4"/>
  <c r="H39" i="4"/>
  <c r="I39" i="4" s="1"/>
  <c r="L39" i="4"/>
  <c r="M39" i="4"/>
  <c r="N39" i="4" s="1"/>
  <c r="X39" i="4"/>
  <c r="E40" i="4"/>
  <c r="G40" i="4"/>
  <c r="H40" i="4"/>
  <c r="O40" i="4" s="1"/>
  <c r="P40" i="4" s="1"/>
  <c r="L40" i="4"/>
  <c r="M40" i="4"/>
  <c r="N40" i="4" s="1"/>
  <c r="X40" i="4"/>
  <c r="X41" i="4"/>
  <c r="E42" i="4"/>
  <c r="G42" i="4"/>
  <c r="H42" i="4"/>
  <c r="I42" i="4" s="1"/>
  <c r="L42" i="4"/>
  <c r="M42" i="4"/>
  <c r="N42" i="4" s="1"/>
  <c r="X42" i="4"/>
  <c r="E43" i="4"/>
  <c r="G43" i="4"/>
  <c r="H43" i="4"/>
  <c r="O43" i="4" s="1"/>
  <c r="P43" i="4" s="1"/>
  <c r="I43" i="4"/>
  <c r="L43" i="4"/>
  <c r="M43" i="4"/>
  <c r="N43" i="4" s="1"/>
  <c r="X43" i="4"/>
  <c r="E44" i="4"/>
  <c r="G44" i="4"/>
  <c r="H44" i="4"/>
  <c r="I44" i="4" s="1"/>
  <c r="L44" i="4"/>
  <c r="M44" i="4"/>
  <c r="N44" i="4" s="1"/>
  <c r="X44" i="4"/>
  <c r="E45" i="4"/>
  <c r="G45" i="4"/>
  <c r="H45" i="4"/>
  <c r="I45" i="4" s="1"/>
  <c r="L45" i="4"/>
  <c r="M45" i="4"/>
  <c r="N45" i="4" s="1"/>
  <c r="X45" i="4"/>
  <c r="X46" i="4"/>
  <c r="E47" i="4"/>
  <c r="G47" i="4"/>
  <c r="H47" i="4"/>
  <c r="O47" i="4" s="1"/>
  <c r="P47" i="4" s="1"/>
  <c r="L47" i="4"/>
  <c r="M47" i="4"/>
  <c r="N47" i="4" s="1"/>
  <c r="X47" i="4"/>
  <c r="E48" i="4"/>
  <c r="G48" i="4"/>
  <c r="H48" i="4"/>
  <c r="I48" i="4" s="1"/>
  <c r="L48" i="4"/>
  <c r="M48" i="4"/>
  <c r="N48" i="4" s="1"/>
  <c r="X48" i="4"/>
  <c r="E49" i="4"/>
  <c r="G49" i="4"/>
  <c r="H49" i="4"/>
  <c r="O49" i="4" s="1"/>
  <c r="P49" i="4" s="1"/>
  <c r="L49" i="4"/>
  <c r="M49" i="4"/>
  <c r="N49" i="4" s="1"/>
  <c r="X49" i="4"/>
  <c r="E51" i="4"/>
  <c r="G51" i="4"/>
  <c r="H51" i="4"/>
  <c r="O51" i="4" s="1"/>
  <c r="P51" i="4" s="1"/>
  <c r="I51" i="4"/>
  <c r="L51" i="4"/>
  <c r="M51" i="4"/>
  <c r="N51" i="4" s="1"/>
  <c r="X51" i="4"/>
  <c r="X52" i="4"/>
  <c r="E53" i="4"/>
  <c r="G53" i="4"/>
  <c r="H53" i="4"/>
  <c r="O53" i="4" s="1"/>
  <c r="P53" i="4" s="1"/>
  <c r="L53" i="4"/>
  <c r="M53" i="4"/>
  <c r="N53" i="4" s="1"/>
  <c r="X53" i="4"/>
  <c r="E54" i="4"/>
  <c r="E64" i="4" s="1"/>
  <c r="G54" i="4"/>
  <c r="H54" i="4"/>
  <c r="I54" i="4" s="1"/>
  <c r="L54" i="4"/>
  <c r="M54" i="4"/>
  <c r="N54" i="4" s="1"/>
  <c r="X54" i="4"/>
  <c r="E55" i="4"/>
  <c r="G55" i="4"/>
  <c r="H55" i="4"/>
  <c r="I55" i="4" s="1"/>
  <c r="L55" i="4"/>
  <c r="M55" i="4"/>
  <c r="N55" i="4" s="1"/>
  <c r="X55" i="4"/>
  <c r="E56" i="4"/>
  <c r="G56" i="4"/>
  <c r="G61" i="4" s="1"/>
  <c r="H56" i="4"/>
  <c r="O56" i="4" s="1"/>
  <c r="L56" i="4"/>
  <c r="L61" i="4" s="1"/>
  <c r="M56" i="4"/>
  <c r="N56" i="4" s="1"/>
  <c r="X56" i="4"/>
  <c r="X57" i="4"/>
  <c r="E58" i="4"/>
  <c r="G58" i="4"/>
  <c r="G63" i="4" s="1"/>
  <c r="H58" i="4"/>
  <c r="I58" i="4" s="1"/>
  <c r="L58" i="4"/>
  <c r="M58" i="4"/>
  <c r="N58" i="4" s="1"/>
  <c r="N63" i="4" s="1"/>
  <c r="X58" i="4"/>
  <c r="E59" i="4"/>
  <c r="G59" i="4"/>
  <c r="H59" i="4"/>
  <c r="O59" i="4" s="1"/>
  <c r="P59" i="4" s="1"/>
  <c r="L59" i="4"/>
  <c r="L64" i="4" s="1"/>
  <c r="M59" i="4"/>
  <c r="N59" i="4" s="1"/>
  <c r="X59" i="4"/>
  <c r="E60" i="4"/>
  <c r="G60" i="4"/>
  <c r="H60" i="4"/>
  <c r="O60" i="4" s="1"/>
  <c r="P60" i="4" s="1"/>
  <c r="I60" i="4"/>
  <c r="L60" i="4"/>
  <c r="L65" i="4" s="1"/>
  <c r="M60" i="4"/>
  <c r="N60" i="4" s="1"/>
  <c r="N65" i="4" s="1"/>
  <c r="X60" i="4"/>
  <c r="D61" i="4"/>
  <c r="F61" i="4"/>
  <c r="J61" i="4"/>
  <c r="K61" i="4"/>
  <c r="U61" i="4"/>
  <c r="V61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S62" i="4"/>
  <c r="U62" i="4"/>
  <c r="V62" i="4"/>
  <c r="X62" i="4"/>
  <c r="D63" i="4"/>
  <c r="E63" i="4"/>
  <c r="F63" i="4"/>
  <c r="J63" i="4"/>
  <c r="K63" i="4"/>
  <c r="M63" i="4"/>
  <c r="U63" i="4"/>
  <c r="V63" i="4"/>
  <c r="D64" i="4"/>
  <c r="F64" i="4"/>
  <c r="J64" i="4"/>
  <c r="K64" i="4"/>
  <c r="M64" i="4"/>
  <c r="U64" i="4"/>
  <c r="V64" i="4"/>
  <c r="D65" i="4"/>
  <c r="F65" i="4"/>
  <c r="H65" i="4"/>
  <c r="J65" i="4"/>
  <c r="K65" i="4"/>
  <c r="U65" i="4"/>
  <c r="V65" i="4"/>
  <c r="X65" i="4" s="1"/>
  <c r="V83" i="5"/>
  <c r="U83" i="5"/>
  <c r="K83" i="5"/>
  <c r="J83" i="5"/>
  <c r="F83" i="5"/>
  <c r="D83" i="5"/>
  <c r="V82" i="5"/>
  <c r="U82" i="5"/>
  <c r="X82" i="5" s="1"/>
  <c r="K82" i="5"/>
  <c r="J82" i="5"/>
  <c r="F82" i="5"/>
  <c r="D82" i="5"/>
  <c r="V81" i="5"/>
  <c r="U81" i="5"/>
  <c r="K81" i="5"/>
  <c r="J81" i="5"/>
  <c r="F81" i="5"/>
  <c r="D81" i="5"/>
  <c r="V80" i="5"/>
  <c r="U80" i="5"/>
  <c r="K80" i="5"/>
  <c r="J80" i="5"/>
  <c r="F80" i="5"/>
  <c r="D80" i="5"/>
  <c r="K79" i="5"/>
  <c r="J79" i="5"/>
  <c r="F79" i="5"/>
  <c r="D79" i="5"/>
  <c r="X78" i="5"/>
  <c r="M78" i="5"/>
  <c r="L78" i="5"/>
  <c r="H78" i="5"/>
  <c r="O78" i="5" s="1"/>
  <c r="G78" i="5"/>
  <c r="E78" i="5"/>
  <c r="X77" i="5"/>
  <c r="O77" i="5"/>
  <c r="M77" i="5"/>
  <c r="L77" i="5"/>
  <c r="H77" i="5"/>
  <c r="G77" i="5"/>
  <c r="E77" i="5"/>
  <c r="X76" i="5"/>
  <c r="N76" i="5"/>
  <c r="M76" i="5"/>
  <c r="L76" i="5"/>
  <c r="H76" i="5"/>
  <c r="O76" i="5" s="1"/>
  <c r="G76" i="5"/>
  <c r="E76" i="5"/>
  <c r="X75" i="5"/>
  <c r="M74" i="5"/>
  <c r="L74" i="5"/>
  <c r="H74" i="5"/>
  <c r="O74" i="5" s="1"/>
  <c r="G74" i="5"/>
  <c r="E74" i="5"/>
  <c r="M73" i="5"/>
  <c r="N73" i="5" s="1"/>
  <c r="L73" i="5"/>
  <c r="H73" i="5"/>
  <c r="I73" i="5" s="1"/>
  <c r="G73" i="5"/>
  <c r="E73" i="5"/>
  <c r="X72" i="5"/>
  <c r="M72" i="5"/>
  <c r="N72" i="5" s="1"/>
  <c r="L72" i="5"/>
  <c r="H72" i="5"/>
  <c r="I72" i="5" s="1"/>
  <c r="G72" i="5"/>
  <c r="E72" i="5"/>
  <c r="X71" i="5"/>
  <c r="M71" i="5"/>
  <c r="N71" i="5" s="1"/>
  <c r="L71" i="5"/>
  <c r="H71" i="5"/>
  <c r="O71" i="5" s="1"/>
  <c r="P71" i="5" s="1"/>
  <c r="G71" i="5"/>
  <c r="E71" i="5"/>
  <c r="X70" i="5"/>
  <c r="M70" i="5"/>
  <c r="M80" i="5" s="1"/>
  <c r="L70" i="5"/>
  <c r="L80" i="5" s="1"/>
  <c r="H70" i="5"/>
  <c r="I70" i="5" s="1"/>
  <c r="I80" i="5" s="1"/>
  <c r="G70" i="5"/>
  <c r="G80" i="5" s="1"/>
  <c r="E70" i="5"/>
  <c r="E80" i="5" s="1"/>
  <c r="X69" i="5"/>
  <c r="M69" i="5"/>
  <c r="N69" i="5" s="1"/>
  <c r="L69" i="5"/>
  <c r="H69" i="5"/>
  <c r="O69" i="5" s="1"/>
  <c r="P69" i="5" s="1"/>
  <c r="G69" i="5"/>
  <c r="E69" i="5"/>
  <c r="X68" i="5"/>
  <c r="M67" i="5"/>
  <c r="N67" i="5" s="1"/>
  <c r="L67" i="5"/>
  <c r="H67" i="5"/>
  <c r="O67" i="5" s="1"/>
  <c r="P67" i="5" s="1"/>
  <c r="G67" i="5"/>
  <c r="E67" i="5"/>
  <c r="M66" i="5"/>
  <c r="N66" i="5" s="1"/>
  <c r="L66" i="5"/>
  <c r="H66" i="5"/>
  <c r="I66" i="5" s="1"/>
  <c r="G66" i="5"/>
  <c r="E66" i="5"/>
  <c r="V65" i="5"/>
  <c r="V79" i="5" s="1"/>
  <c r="U65" i="5"/>
  <c r="U79" i="5" s="1"/>
  <c r="M65" i="5"/>
  <c r="N65" i="5" s="1"/>
  <c r="L65" i="5"/>
  <c r="H65" i="5"/>
  <c r="O65" i="5" s="1"/>
  <c r="P65" i="5" s="1"/>
  <c r="G65" i="5"/>
  <c r="E65" i="5"/>
  <c r="X63" i="5"/>
  <c r="M63" i="5"/>
  <c r="N63" i="5" s="1"/>
  <c r="L63" i="5"/>
  <c r="H63" i="5"/>
  <c r="O63" i="5" s="1"/>
  <c r="P63" i="5" s="1"/>
  <c r="G63" i="5"/>
  <c r="E63" i="5"/>
  <c r="X62" i="5"/>
  <c r="M62" i="5"/>
  <c r="N62" i="5" s="1"/>
  <c r="L62" i="5"/>
  <c r="H62" i="5"/>
  <c r="O62" i="5" s="1"/>
  <c r="P62" i="5" s="1"/>
  <c r="G62" i="5"/>
  <c r="E62" i="5"/>
  <c r="X61" i="5"/>
  <c r="M61" i="5"/>
  <c r="N61" i="5" s="1"/>
  <c r="L61" i="5"/>
  <c r="H61" i="5"/>
  <c r="I61" i="5" s="1"/>
  <c r="G61" i="5"/>
  <c r="E61" i="5"/>
  <c r="X60" i="5"/>
  <c r="M59" i="5"/>
  <c r="N59" i="5" s="1"/>
  <c r="L59" i="5"/>
  <c r="H59" i="5"/>
  <c r="I59" i="5" s="1"/>
  <c r="G59" i="5"/>
  <c r="E59" i="5"/>
  <c r="N58" i="5"/>
  <c r="M58" i="5"/>
  <c r="L58" i="5"/>
  <c r="H58" i="5"/>
  <c r="O58" i="5" s="1"/>
  <c r="P58" i="5" s="1"/>
  <c r="G58" i="5"/>
  <c r="E58" i="5"/>
  <c r="X57" i="5"/>
  <c r="M57" i="5"/>
  <c r="N57" i="5" s="1"/>
  <c r="L57" i="5"/>
  <c r="H57" i="5"/>
  <c r="I57" i="5" s="1"/>
  <c r="G57" i="5"/>
  <c r="E57" i="5"/>
  <c r="X56" i="5"/>
  <c r="M56" i="5"/>
  <c r="N56" i="5" s="1"/>
  <c r="L56" i="5"/>
  <c r="H56" i="5"/>
  <c r="I56" i="5" s="1"/>
  <c r="G56" i="5"/>
  <c r="E56" i="5"/>
  <c r="X55" i="5"/>
  <c r="M55" i="5"/>
  <c r="N55" i="5" s="1"/>
  <c r="L55" i="5"/>
  <c r="H55" i="5"/>
  <c r="O55" i="5" s="1"/>
  <c r="P55" i="5" s="1"/>
  <c r="G55" i="5"/>
  <c r="E55" i="5"/>
  <c r="X54" i="5"/>
  <c r="M54" i="5"/>
  <c r="N54" i="5" s="1"/>
  <c r="L54" i="5"/>
  <c r="H54" i="5"/>
  <c r="I54" i="5" s="1"/>
  <c r="G54" i="5"/>
  <c r="E54" i="5"/>
  <c r="X53" i="5"/>
  <c r="M52" i="5"/>
  <c r="N52" i="5" s="1"/>
  <c r="L52" i="5"/>
  <c r="H52" i="5"/>
  <c r="O52" i="5" s="1"/>
  <c r="P52" i="5" s="1"/>
  <c r="G52" i="5"/>
  <c r="E52" i="5"/>
  <c r="M51" i="5"/>
  <c r="N51" i="5" s="1"/>
  <c r="L51" i="5"/>
  <c r="H51" i="5"/>
  <c r="O51" i="5" s="1"/>
  <c r="P51" i="5" s="1"/>
  <c r="G51" i="5"/>
  <c r="E51" i="5"/>
  <c r="V50" i="5"/>
  <c r="U50" i="5"/>
  <c r="M50" i="5"/>
  <c r="N50" i="5" s="1"/>
  <c r="L50" i="5"/>
  <c r="H50" i="5"/>
  <c r="I50" i="5" s="1"/>
  <c r="G50" i="5"/>
  <c r="E50" i="5"/>
  <c r="X49" i="5"/>
  <c r="M49" i="5"/>
  <c r="N49" i="5" s="1"/>
  <c r="L49" i="5"/>
  <c r="H49" i="5"/>
  <c r="O49" i="5" s="1"/>
  <c r="P49" i="5" s="1"/>
  <c r="G49" i="5"/>
  <c r="E49" i="5"/>
  <c r="X48" i="5"/>
  <c r="M48" i="5"/>
  <c r="N48" i="5" s="1"/>
  <c r="L48" i="5"/>
  <c r="I48" i="5"/>
  <c r="H48" i="5"/>
  <c r="O48" i="5" s="1"/>
  <c r="P48" i="5" s="1"/>
  <c r="G48" i="5"/>
  <c r="E48" i="5"/>
  <c r="X47" i="5"/>
  <c r="M47" i="5"/>
  <c r="N47" i="5" s="1"/>
  <c r="L47" i="5"/>
  <c r="I47" i="5"/>
  <c r="H47" i="5"/>
  <c r="O47" i="5" s="1"/>
  <c r="P47" i="5" s="1"/>
  <c r="G47" i="5"/>
  <c r="E47" i="5"/>
  <c r="X46" i="5"/>
  <c r="M45" i="5"/>
  <c r="N45" i="5" s="1"/>
  <c r="L45" i="5"/>
  <c r="I45" i="5"/>
  <c r="H45" i="5"/>
  <c r="O45" i="5" s="1"/>
  <c r="P45" i="5" s="1"/>
  <c r="G45" i="5"/>
  <c r="E45" i="5"/>
  <c r="M44" i="5"/>
  <c r="N44" i="5" s="1"/>
  <c r="L44" i="5"/>
  <c r="H44" i="5"/>
  <c r="O44" i="5" s="1"/>
  <c r="P44" i="5" s="1"/>
  <c r="G44" i="5"/>
  <c r="E44" i="5"/>
  <c r="X43" i="5"/>
  <c r="M43" i="5"/>
  <c r="N43" i="5" s="1"/>
  <c r="L43" i="5"/>
  <c r="H43" i="5"/>
  <c r="O43" i="5" s="1"/>
  <c r="P43" i="5" s="1"/>
  <c r="G43" i="5"/>
  <c r="E43" i="5"/>
  <c r="V41" i="5"/>
  <c r="U41" i="5"/>
  <c r="K41" i="5"/>
  <c r="J41" i="5"/>
  <c r="F41" i="5"/>
  <c r="D41" i="5"/>
  <c r="V40" i="5"/>
  <c r="U40" i="5"/>
  <c r="K40" i="5"/>
  <c r="J40" i="5"/>
  <c r="F40" i="5"/>
  <c r="D40" i="5"/>
  <c r="V39" i="5"/>
  <c r="U39" i="5"/>
  <c r="K39" i="5"/>
  <c r="J39" i="5"/>
  <c r="F39" i="5"/>
  <c r="D39" i="5"/>
  <c r="V38" i="5"/>
  <c r="U38" i="5"/>
  <c r="K38" i="5"/>
  <c r="J38" i="5"/>
  <c r="F38" i="5"/>
  <c r="D38" i="5"/>
  <c r="V37" i="5"/>
  <c r="U37" i="5"/>
  <c r="K37" i="5"/>
  <c r="J37" i="5"/>
  <c r="F37" i="5"/>
  <c r="D37" i="5"/>
  <c r="M36" i="5"/>
  <c r="N36" i="5" s="1"/>
  <c r="L36" i="5"/>
  <c r="H36" i="5"/>
  <c r="I36" i="5" s="1"/>
  <c r="G36" i="5"/>
  <c r="E36" i="5"/>
  <c r="M35" i="5"/>
  <c r="N35" i="5" s="1"/>
  <c r="L35" i="5"/>
  <c r="H35" i="5"/>
  <c r="I35" i="5" s="1"/>
  <c r="G35" i="5"/>
  <c r="E35" i="5"/>
  <c r="M34" i="5"/>
  <c r="L34" i="5"/>
  <c r="H34" i="5"/>
  <c r="O34" i="5" s="1"/>
  <c r="G34" i="5"/>
  <c r="E34" i="5"/>
  <c r="M32" i="5"/>
  <c r="N32" i="5" s="1"/>
  <c r="L32" i="5"/>
  <c r="H32" i="5"/>
  <c r="O32" i="5" s="1"/>
  <c r="G32" i="5"/>
  <c r="E32" i="5"/>
  <c r="M31" i="5"/>
  <c r="N31" i="5" s="1"/>
  <c r="L31" i="5"/>
  <c r="H31" i="5"/>
  <c r="I31" i="5" s="1"/>
  <c r="G31" i="5"/>
  <c r="E31" i="5"/>
  <c r="M30" i="5"/>
  <c r="N30" i="5" s="1"/>
  <c r="L30" i="5"/>
  <c r="H30" i="5"/>
  <c r="I30" i="5" s="1"/>
  <c r="G30" i="5"/>
  <c r="E30" i="5"/>
  <c r="M29" i="5"/>
  <c r="N29" i="5" s="1"/>
  <c r="L29" i="5"/>
  <c r="H29" i="5"/>
  <c r="O29" i="5" s="1"/>
  <c r="P29" i="5" s="1"/>
  <c r="G29" i="5"/>
  <c r="E29" i="5"/>
  <c r="M28" i="5"/>
  <c r="N28" i="5" s="1"/>
  <c r="N38" i="5" s="1"/>
  <c r="L28" i="5"/>
  <c r="L38" i="5" s="1"/>
  <c r="H28" i="5"/>
  <c r="H38" i="5" s="1"/>
  <c r="G28" i="5"/>
  <c r="G38" i="5" s="1"/>
  <c r="E28" i="5"/>
  <c r="M27" i="5"/>
  <c r="N27" i="5" s="1"/>
  <c r="L27" i="5"/>
  <c r="H27" i="5"/>
  <c r="I27" i="5" s="1"/>
  <c r="G27" i="5"/>
  <c r="G37" i="5" s="1"/>
  <c r="E27" i="5"/>
  <c r="M25" i="5"/>
  <c r="N25" i="5" s="1"/>
  <c r="L25" i="5"/>
  <c r="H25" i="5"/>
  <c r="I25" i="5" s="1"/>
  <c r="G25" i="5"/>
  <c r="E25" i="5"/>
  <c r="M24" i="5"/>
  <c r="N24" i="5" s="1"/>
  <c r="L24" i="5"/>
  <c r="H24" i="5"/>
  <c r="O24" i="5" s="1"/>
  <c r="P24" i="5" s="1"/>
  <c r="G24" i="5"/>
  <c r="E24" i="5"/>
  <c r="M23" i="5"/>
  <c r="N23" i="5" s="1"/>
  <c r="L23" i="5"/>
  <c r="H23" i="5"/>
  <c r="O23" i="5" s="1"/>
  <c r="P23" i="5" s="1"/>
  <c r="G23" i="5"/>
  <c r="E23" i="5"/>
  <c r="V21" i="5"/>
  <c r="U21" i="5"/>
  <c r="K21" i="5"/>
  <c r="J21" i="5"/>
  <c r="F21" i="5"/>
  <c r="D21" i="5"/>
  <c r="V20" i="5"/>
  <c r="U20" i="5"/>
  <c r="K20" i="5"/>
  <c r="J20" i="5"/>
  <c r="F20" i="5"/>
  <c r="D20" i="5"/>
  <c r="V19" i="5"/>
  <c r="U19" i="5"/>
  <c r="X19" i="5" s="1"/>
  <c r="K19" i="5"/>
  <c r="J19" i="5"/>
  <c r="F19" i="5"/>
  <c r="D19" i="5"/>
  <c r="V18" i="5"/>
  <c r="U18" i="5"/>
  <c r="X18" i="5" s="1"/>
  <c r="K18" i="5"/>
  <c r="J18" i="5"/>
  <c r="F18" i="5"/>
  <c r="D18" i="5"/>
  <c r="X17" i="5"/>
  <c r="V17" i="5"/>
  <c r="U17" i="5"/>
  <c r="K17" i="5"/>
  <c r="J17" i="5"/>
  <c r="F17" i="5"/>
  <c r="D17" i="5"/>
  <c r="X16" i="5"/>
  <c r="M16" i="5"/>
  <c r="M21" i="5" s="1"/>
  <c r="L16" i="5"/>
  <c r="H16" i="5"/>
  <c r="O16" i="5" s="1"/>
  <c r="G16" i="5"/>
  <c r="E16" i="5"/>
  <c r="E21" i="5" s="1"/>
  <c r="X15" i="5"/>
  <c r="M15" i="5"/>
  <c r="N15" i="5" s="1"/>
  <c r="L15" i="5"/>
  <c r="H15" i="5"/>
  <c r="O15" i="5" s="1"/>
  <c r="G15" i="5"/>
  <c r="E15" i="5"/>
  <c r="E20" i="5" s="1"/>
  <c r="M14" i="5"/>
  <c r="L14" i="5"/>
  <c r="H14" i="5"/>
  <c r="O14" i="5" s="1"/>
  <c r="G14" i="5"/>
  <c r="E14" i="5"/>
  <c r="M12" i="5"/>
  <c r="L12" i="5"/>
  <c r="L17" i="5" s="1"/>
  <c r="H12" i="5"/>
  <c r="I12" i="5" s="1"/>
  <c r="G12" i="5"/>
  <c r="E12" i="5"/>
  <c r="M11" i="5"/>
  <c r="N11" i="5" s="1"/>
  <c r="L11" i="5"/>
  <c r="H11" i="5"/>
  <c r="O11" i="5" s="1"/>
  <c r="P11" i="5" s="1"/>
  <c r="G11" i="5"/>
  <c r="E11" i="5"/>
  <c r="X10" i="5"/>
  <c r="M10" i="5"/>
  <c r="N10" i="5" s="1"/>
  <c r="L10" i="5"/>
  <c r="H10" i="5"/>
  <c r="I10" i="5" s="1"/>
  <c r="G10" i="5"/>
  <c r="E10" i="5"/>
  <c r="X9" i="5"/>
  <c r="O9" i="5"/>
  <c r="P9" i="5" s="1"/>
  <c r="M9" i="5"/>
  <c r="N9" i="5" s="1"/>
  <c r="L9" i="5"/>
  <c r="H9" i="5"/>
  <c r="I9" i="5" s="1"/>
  <c r="G9" i="5"/>
  <c r="E9" i="5"/>
  <c r="X8" i="5"/>
  <c r="M8" i="5"/>
  <c r="N8" i="5" s="1"/>
  <c r="N18" i="5" s="1"/>
  <c r="L8" i="5"/>
  <c r="L18" i="5" s="1"/>
  <c r="H8" i="5"/>
  <c r="H18" i="5" s="1"/>
  <c r="G8" i="5"/>
  <c r="G18" i="5" s="1"/>
  <c r="E8" i="5"/>
  <c r="E18" i="5" s="1"/>
  <c r="X7" i="5"/>
  <c r="M7" i="5"/>
  <c r="N7" i="5" s="1"/>
  <c r="L7" i="5"/>
  <c r="H7" i="5"/>
  <c r="O7" i="5" s="1"/>
  <c r="P7" i="5" s="1"/>
  <c r="G7" i="5"/>
  <c r="E7" i="5"/>
  <c r="X6" i="5"/>
  <c r="M5" i="5"/>
  <c r="N5" i="5" s="1"/>
  <c r="L5" i="5"/>
  <c r="I5" i="5"/>
  <c r="H5" i="5"/>
  <c r="O5" i="5" s="1"/>
  <c r="P5" i="5" s="1"/>
  <c r="G5" i="5"/>
  <c r="E5" i="5"/>
  <c r="M4" i="5"/>
  <c r="N4" i="5" s="1"/>
  <c r="L4" i="5"/>
  <c r="H4" i="5"/>
  <c r="I4" i="5" s="1"/>
  <c r="G4" i="5"/>
  <c r="E4" i="5"/>
  <c r="X3" i="5"/>
  <c r="M3" i="5"/>
  <c r="N3" i="5" s="1"/>
  <c r="L3" i="5"/>
  <c r="H3" i="5"/>
  <c r="O3" i="5" s="1"/>
  <c r="P3" i="5" s="1"/>
  <c r="G3" i="5"/>
  <c r="E3" i="5"/>
  <c r="X65" i="3"/>
  <c r="W65" i="3"/>
  <c r="Z65" i="3" s="1"/>
  <c r="K65" i="3"/>
  <c r="J65" i="3"/>
  <c r="F65" i="3"/>
  <c r="D65" i="3"/>
  <c r="X64" i="3"/>
  <c r="W64" i="3"/>
  <c r="K64" i="3"/>
  <c r="J64" i="3"/>
  <c r="F64" i="3"/>
  <c r="D64" i="3"/>
  <c r="X63" i="3"/>
  <c r="W63" i="3"/>
  <c r="Z63" i="3" s="1"/>
  <c r="K63" i="3"/>
  <c r="J63" i="3"/>
  <c r="F63" i="3"/>
  <c r="D63" i="3"/>
  <c r="X62" i="3"/>
  <c r="W62" i="3"/>
  <c r="U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X61" i="3"/>
  <c r="W61" i="3"/>
  <c r="Z61" i="3" s="1"/>
  <c r="K61" i="3"/>
  <c r="J61" i="3"/>
  <c r="F61" i="3"/>
  <c r="D61" i="3"/>
  <c r="Z60" i="3"/>
  <c r="M60" i="3"/>
  <c r="L60" i="3"/>
  <c r="H60" i="3"/>
  <c r="I60" i="3" s="1"/>
  <c r="G60" i="3"/>
  <c r="E60" i="3"/>
  <c r="Z59" i="3"/>
  <c r="N59" i="3"/>
  <c r="M59" i="3"/>
  <c r="L59" i="3"/>
  <c r="I59" i="3"/>
  <c r="H59" i="3"/>
  <c r="G59" i="3"/>
  <c r="E59" i="3"/>
  <c r="Z58" i="3"/>
  <c r="N58" i="3"/>
  <c r="M58" i="3"/>
  <c r="L58" i="3"/>
  <c r="I58" i="3"/>
  <c r="H58" i="3"/>
  <c r="G58" i="3"/>
  <c r="E58" i="3"/>
  <c r="Z57" i="3"/>
  <c r="R57" i="3"/>
  <c r="Q57" i="3"/>
  <c r="Z56" i="3"/>
  <c r="N56" i="3"/>
  <c r="M56" i="3"/>
  <c r="L56" i="3"/>
  <c r="I56" i="3"/>
  <c r="H56" i="3"/>
  <c r="O56" i="3" s="1"/>
  <c r="G56" i="3"/>
  <c r="E56" i="3"/>
  <c r="Z55" i="3"/>
  <c r="N55" i="3"/>
  <c r="M55" i="3"/>
  <c r="L55" i="3"/>
  <c r="I55" i="3"/>
  <c r="H55" i="3"/>
  <c r="O55" i="3" s="1"/>
  <c r="P55" i="3" s="1"/>
  <c r="G55" i="3"/>
  <c r="E55" i="3"/>
  <c r="Z54" i="3"/>
  <c r="M54" i="3"/>
  <c r="N54" i="3" s="1"/>
  <c r="L54" i="3"/>
  <c r="H54" i="3"/>
  <c r="O54" i="3" s="1"/>
  <c r="P54" i="3" s="1"/>
  <c r="G54" i="3"/>
  <c r="E54" i="3"/>
  <c r="Z53" i="3"/>
  <c r="M53" i="3"/>
  <c r="N53" i="3" s="1"/>
  <c r="L53" i="3"/>
  <c r="H53" i="3"/>
  <c r="O53" i="3" s="1"/>
  <c r="P53" i="3" s="1"/>
  <c r="G53" i="3"/>
  <c r="E53" i="3"/>
  <c r="Z52" i="3"/>
  <c r="R52" i="3"/>
  <c r="Q52" i="3"/>
  <c r="Z51" i="3"/>
  <c r="M51" i="3"/>
  <c r="N51" i="3" s="1"/>
  <c r="L51" i="3"/>
  <c r="H51" i="3"/>
  <c r="O51" i="3" s="1"/>
  <c r="P51" i="3" s="1"/>
  <c r="G51" i="3"/>
  <c r="E51" i="3"/>
  <c r="Z49" i="3"/>
  <c r="M49" i="3"/>
  <c r="N49" i="3" s="1"/>
  <c r="L49" i="3"/>
  <c r="H49" i="3"/>
  <c r="O49" i="3" s="1"/>
  <c r="P49" i="3" s="1"/>
  <c r="G49" i="3"/>
  <c r="E49" i="3"/>
  <c r="Z48" i="3"/>
  <c r="M48" i="3"/>
  <c r="N48" i="3" s="1"/>
  <c r="L48" i="3"/>
  <c r="I48" i="3"/>
  <c r="H48" i="3"/>
  <c r="O48" i="3" s="1"/>
  <c r="P48" i="3" s="1"/>
  <c r="G48" i="3"/>
  <c r="E48" i="3"/>
  <c r="Z47" i="3"/>
  <c r="M47" i="3"/>
  <c r="N47" i="3" s="1"/>
  <c r="L47" i="3"/>
  <c r="H47" i="3"/>
  <c r="I47" i="3" s="1"/>
  <c r="G47" i="3"/>
  <c r="E47" i="3"/>
  <c r="Z46" i="3"/>
  <c r="R46" i="3"/>
  <c r="Q46" i="3"/>
  <c r="Z45" i="3"/>
  <c r="O45" i="3"/>
  <c r="P45" i="3" s="1"/>
  <c r="R45" i="3" s="1"/>
  <c r="M45" i="3"/>
  <c r="N45" i="3" s="1"/>
  <c r="L45" i="3"/>
  <c r="H45" i="3"/>
  <c r="I45" i="3" s="1"/>
  <c r="G45" i="3"/>
  <c r="E45" i="3"/>
  <c r="Z44" i="3"/>
  <c r="M44" i="3"/>
  <c r="N44" i="3" s="1"/>
  <c r="L44" i="3"/>
  <c r="H44" i="3"/>
  <c r="I44" i="3" s="1"/>
  <c r="G44" i="3"/>
  <c r="E44" i="3"/>
  <c r="Z43" i="3"/>
  <c r="M43" i="3"/>
  <c r="N43" i="3" s="1"/>
  <c r="L43" i="3"/>
  <c r="H43" i="3"/>
  <c r="O43" i="3" s="1"/>
  <c r="P43" i="3" s="1"/>
  <c r="G43" i="3"/>
  <c r="E43" i="3"/>
  <c r="Z42" i="3"/>
  <c r="M42" i="3"/>
  <c r="N42" i="3" s="1"/>
  <c r="L42" i="3"/>
  <c r="H42" i="3"/>
  <c r="O42" i="3" s="1"/>
  <c r="P42" i="3" s="1"/>
  <c r="G42" i="3"/>
  <c r="E42" i="3"/>
  <c r="Z41" i="3"/>
  <c r="R41" i="3"/>
  <c r="Q41" i="3"/>
  <c r="Z40" i="3"/>
  <c r="M40" i="3"/>
  <c r="N40" i="3" s="1"/>
  <c r="L40" i="3"/>
  <c r="H40" i="3"/>
  <c r="I40" i="3" s="1"/>
  <c r="G40" i="3"/>
  <c r="E40" i="3"/>
  <c r="Z39" i="3"/>
  <c r="M39" i="3"/>
  <c r="N39" i="3" s="1"/>
  <c r="L39" i="3"/>
  <c r="H39" i="3"/>
  <c r="O39" i="3" s="1"/>
  <c r="P39" i="3" s="1"/>
  <c r="G39" i="3"/>
  <c r="E39" i="3"/>
  <c r="Z38" i="3"/>
  <c r="M38" i="3"/>
  <c r="N38" i="3" s="1"/>
  <c r="L38" i="3"/>
  <c r="H38" i="3"/>
  <c r="O38" i="3" s="1"/>
  <c r="P38" i="3" s="1"/>
  <c r="G38" i="3"/>
  <c r="E38" i="3"/>
  <c r="Z37" i="3"/>
  <c r="M37" i="3"/>
  <c r="N37" i="3" s="1"/>
  <c r="L37" i="3"/>
  <c r="I37" i="3"/>
  <c r="H37" i="3"/>
  <c r="O37" i="3" s="1"/>
  <c r="P37" i="3" s="1"/>
  <c r="G37" i="3"/>
  <c r="E37" i="3"/>
  <c r="Z36" i="3"/>
  <c r="R36" i="3"/>
  <c r="Q36" i="3"/>
  <c r="Z35" i="3"/>
  <c r="N35" i="3"/>
  <c r="M35" i="3"/>
  <c r="L35" i="3"/>
  <c r="H35" i="3"/>
  <c r="O35" i="3" s="1"/>
  <c r="P35" i="3" s="1"/>
  <c r="G35" i="3"/>
  <c r="E35" i="3"/>
  <c r="X33" i="3"/>
  <c r="W33" i="3"/>
  <c r="K33" i="3"/>
  <c r="J33" i="3"/>
  <c r="F33" i="3"/>
  <c r="D33" i="3"/>
  <c r="X32" i="3"/>
  <c r="W32" i="3"/>
  <c r="K32" i="3"/>
  <c r="J32" i="3"/>
  <c r="F32" i="3"/>
  <c r="D32" i="3"/>
  <c r="X31" i="3"/>
  <c r="W31" i="3"/>
  <c r="K31" i="3"/>
  <c r="J31" i="3"/>
  <c r="F31" i="3"/>
  <c r="D31" i="3"/>
  <c r="X30" i="3"/>
  <c r="W30" i="3"/>
  <c r="U30" i="3"/>
  <c r="P30" i="3"/>
  <c r="R30" i="3" s="1"/>
  <c r="O30" i="3"/>
  <c r="N30" i="3"/>
  <c r="M30" i="3"/>
  <c r="L30" i="3"/>
  <c r="K30" i="3"/>
  <c r="J30" i="3"/>
  <c r="I30" i="3"/>
  <c r="H30" i="3"/>
  <c r="G30" i="3"/>
  <c r="F30" i="3"/>
  <c r="E30" i="3"/>
  <c r="D30" i="3"/>
  <c r="X29" i="3"/>
  <c r="W29" i="3"/>
  <c r="K29" i="3"/>
  <c r="J29" i="3"/>
  <c r="F29" i="3"/>
  <c r="D29" i="3"/>
  <c r="M28" i="3"/>
  <c r="L28" i="3"/>
  <c r="H28" i="3"/>
  <c r="I28" i="3" s="1"/>
  <c r="G28" i="3"/>
  <c r="E28" i="3"/>
  <c r="M27" i="3"/>
  <c r="M32" i="3" s="1"/>
  <c r="L27" i="3"/>
  <c r="H27" i="3"/>
  <c r="O27" i="3" s="1"/>
  <c r="G27" i="3"/>
  <c r="E27" i="3"/>
  <c r="M26" i="3"/>
  <c r="L26" i="3"/>
  <c r="L31" i="3" s="1"/>
  <c r="H26" i="3"/>
  <c r="G26" i="3"/>
  <c r="E26" i="3"/>
  <c r="R25" i="3"/>
  <c r="Q25" i="3"/>
  <c r="M24" i="3"/>
  <c r="N24" i="3" s="1"/>
  <c r="L24" i="3"/>
  <c r="I24" i="3"/>
  <c r="H24" i="3"/>
  <c r="G24" i="3"/>
  <c r="E24" i="3"/>
  <c r="M23" i="3"/>
  <c r="N23" i="3" s="1"/>
  <c r="L23" i="3"/>
  <c r="H23" i="3"/>
  <c r="I23" i="3" s="1"/>
  <c r="G23" i="3"/>
  <c r="E23" i="3"/>
  <c r="M22" i="3"/>
  <c r="N22" i="3" s="1"/>
  <c r="L22" i="3"/>
  <c r="H22" i="3"/>
  <c r="O22" i="3" s="1"/>
  <c r="P22" i="3" s="1"/>
  <c r="G22" i="3"/>
  <c r="E22" i="3"/>
  <c r="M21" i="3"/>
  <c r="N21" i="3" s="1"/>
  <c r="L21" i="3"/>
  <c r="H21" i="3"/>
  <c r="O21" i="3" s="1"/>
  <c r="P21" i="3" s="1"/>
  <c r="G21" i="3"/>
  <c r="E21" i="3"/>
  <c r="R20" i="3"/>
  <c r="Q20" i="3"/>
  <c r="M19" i="3"/>
  <c r="N19" i="3" s="1"/>
  <c r="L19" i="3"/>
  <c r="H19" i="3"/>
  <c r="O19" i="3" s="1"/>
  <c r="P19" i="3" s="1"/>
  <c r="G19" i="3"/>
  <c r="E19" i="3"/>
  <c r="Z17" i="3"/>
  <c r="M17" i="3"/>
  <c r="N17" i="3" s="1"/>
  <c r="L17" i="3"/>
  <c r="I17" i="3"/>
  <c r="H17" i="3"/>
  <c r="O17" i="3" s="1"/>
  <c r="P17" i="3" s="1"/>
  <c r="G17" i="3"/>
  <c r="E17" i="3"/>
  <c r="Z16" i="3"/>
  <c r="M16" i="3"/>
  <c r="N16" i="3" s="1"/>
  <c r="L16" i="3"/>
  <c r="I16" i="3"/>
  <c r="H16" i="3"/>
  <c r="O16" i="3" s="1"/>
  <c r="P16" i="3" s="1"/>
  <c r="G16" i="3"/>
  <c r="E16" i="3"/>
  <c r="Z15" i="3"/>
  <c r="M15" i="3"/>
  <c r="N15" i="3" s="1"/>
  <c r="L15" i="3"/>
  <c r="I15" i="3"/>
  <c r="H15" i="3"/>
  <c r="O15" i="3" s="1"/>
  <c r="P15" i="3" s="1"/>
  <c r="G15" i="3"/>
  <c r="E15" i="3"/>
  <c r="Z14" i="3"/>
  <c r="R14" i="3"/>
  <c r="Q14" i="3"/>
  <c r="X13" i="3"/>
  <c r="W13" i="3"/>
  <c r="Z13" i="3" s="1"/>
  <c r="M13" i="3"/>
  <c r="N13" i="3" s="1"/>
  <c r="L13" i="3"/>
  <c r="H13" i="3"/>
  <c r="O13" i="3" s="1"/>
  <c r="P13" i="3" s="1"/>
  <c r="G13" i="3"/>
  <c r="E13" i="3"/>
  <c r="Z12" i="3"/>
  <c r="M12" i="3"/>
  <c r="N12" i="3" s="1"/>
  <c r="L12" i="3"/>
  <c r="H12" i="3"/>
  <c r="I12" i="3" s="1"/>
  <c r="G12" i="3"/>
  <c r="E12" i="3"/>
  <c r="Z11" i="3"/>
  <c r="M11" i="3"/>
  <c r="N11" i="3" s="1"/>
  <c r="L11" i="3"/>
  <c r="H11" i="3"/>
  <c r="O11" i="3" s="1"/>
  <c r="P11" i="3" s="1"/>
  <c r="G11" i="3"/>
  <c r="E11" i="3"/>
  <c r="Z10" i="3"/>
  <c r="O10" i="3"/>
  <c r="P10" i="3" s="1"/>
  <c r="M10" i="3"/>
  <c r="N10" i="3" s="1"/>
  <c r="L10" i="3"/>
  <c r="H10" i="3"/>
  <c r="I10" i="3" s="1"/>
  <c r="G10" i="3"/>
  <c r="E10" i="3"/>
  <c r="Z9" i="3"/>
  <c r="R9" i="3"/>
  <c r="Q9" i="3"/>
  <c r="Z8" i="3"/>
  <c r="M8" i="3"/>
  <c r="N8" i="3" s="1"/>
  <c r="L8" i="3"/>
  <c r="I8" i="3"/>
  <c r="H8" i="3"/>
  <c r="O8" i="3" s="1"/>
  <c r="P8" i="3" s="1"/>
  <c r="G8" i="3"/>
  <c r="E8" i="3"/>
  <c r="Z7" i="3"/>
  <c r="M7" i="3"/>
  <c r="N7" i="3" s="1"/>
  <c r="L7" i="3"/>
  <c r="H7" i="3"/>
  <c r="I7" i="3" s="1"/>
  <c r="G7" i="3"/>
  <c r="E7" i="3"/>
  <c r="Z6" i="3"/>
  <c r="M6" i="3"/>
  <c r="N6" i="3" s="1"/>
  <c r="L6" i="3"/>
  <c r="H6" i="3"/>
  <c r="O6" i="3" s="1"/>
  <c r="P6" i="3" s="1"/>
  <c r="G6" i="3"/>
  <c r="E6" i="3"/>
  <c r="Z5" i="3"/>
  <c r="M5" i="3"/>
  <c r="N5" i="3" s="1"/>
  <c r="L5" i="3"/>
  <c r="H5" i="3"/>
  <c r="O5" i="3" s="1"/>
  <c r="P5" i="3" s="1"/>
  <c r="G5" i="3"/>
  <c r="E5" i="3"/>
  <c r="Z4" i="3"/>
  <c r="R4" i="3"/>
  <c r="Q4" i="3"/>
  <c r="Z3" i="3"/>
  <c r="M3" i="3"/>
  <c r="N3" i="3" s="1"/>
  <c r="L3" i="3"/>
  <c r="H3" i="3"/>
  <c r="O3" i="3" s="1"/>
  <c r="P3" i="3" s="1"/>
  <c r="G3" i="3"/>
  <c r="E3" i="3"/>
  <c r="N37" i="2"/>
  <c r="O37" i="2" s="1"/>
  <c r="M37" i="2"/>
  <c r="I37" i="2"/>
  <c r="J37" i="2" s="1"/>
  <c r="H37" i="2"/>
  <c r="F37" i="2"/>
  <c r="N36" i="2"/>
  <c r="O36" i="2" s="1"/>
  <c r="M36" i="2"/>
  <c r="I36" i="2"/>
  <c r="P36" i="2" s="1"/>
  <c r="Q36" i="2" s="1"/>
  <c r="H36" i="2"/>
  <c r="F36" i="2"/>
  <c r="N35" i="2"/>
  <c r="O35" i="2" s="1"/>
  <c r="M35" i="2"/>
  <c r="I35" i="2"/>
  <c r="J35" i="2" s="1"/>
  <c r="H35" i="2"/>
  <c r="F35" i="2"/>
  <c r="O34" i="2"/>
  <c r="N34" i="2"/>
  <c r="M34" i="2"/>
  <c r="I34" i="2"/>
  <c r="J34" i="2" s="1"/>
  <c r="H34" i="2"/>
  <c r="F34" i="2"/>
  <c r="N33" i="2"/>
  <c r="O33" i="2" s="1"/>
  <c r="M33" i="2"/>
  <c r="I33" i="2"/>
  <c r="P33" i="2" s="1"/>
  <c r="Q33" i="2" s="1"/>
  <c r="H33" i="2"/>
  <c r="F33" i="2"/>
  <c r="N32" i="2"/>
  <c r="O32" i="2" s="1"/>
  <c r="M32" i="2"/>
  <c r="I32" i="2"/>
  <c r="P32" i="2" s="1"/>
  <c r="Q32" i="2" s="1"/>
  <c r="H32" i="2"/>
  <c r="F32" i="2"/>
  <c r="N28" i="2"/>
  <c r="O28" i="2" s="1"/>
  <c r="M28" i="2"/>
  <c r="I28" i="2"/>
  <c r="P28" i="2" s="1"/>
  <c r="Q28" i="2" s="1"/>
  <c r="H28" i="2"/>
  <c r="F28" i="2"/>
  <c r="N27" i="2"/>
  <c r="O27" i="2" s="1"/>
  <c r="M27" i="2"/>
  <c r="I27" i="2"/>
  <c r="J27" i="2" s="1"/>
  <c r="H27" i="2"/>
  <c r="F27" i="2"/>
  <c r="N26" i="2"/>
  <c r="O26" i="2" s="1"/>
  <c r="M26" i="2"/>
  <c r="I26" i="2"/>
  <c r="P26" i="2" s="1"/>
  <c r="Q26" i="2" s="1"/>
  <c r="H26" i="2"/>
  <c r="F26" i="2"/>
  <c r="P25" i="2"/>
  <c r="Q25" i="2" s="1"/>
  <c r="N25" i="2"/>
  <c r="O25" i="2" s="1"/>
  <c r="M25" i="2"/>
  <c r="I25" i="2"/>
  <c r="J25" i="2" s="1"/>
  <c r="H25" i="2"/>
  <c r="F25" i="2"/>
  <c r="P24" i="2"/>
  <c r="Q24" i="2" s="1"/>
  <c r="N24" i="2"/>
  <c r="O24" i="2" s="1"/>
  <c r="M24" i="2"/>
  <c r="I24" i="2"/>
  <c r="J24" i="2" s="1"/>
  <c r="H24" i="2"/>
  <c r="F24" i="2"/>
  <c r="P23" i="2"/>
  <c r="Q23" i="2" s="1"/>
  <c r="N23" i="2"/>
  <c r="O23" i="2" s="1"/>
  <c r="M23" i="2"/>
  <c r="I23" i="2"/>
  <c r="J23" i="2" s="1"/>
  <c r="H23" i="2"/>
  <c r="F23" i="2"/>
  <c r="N19" i="2"/>
  <c r="O19" i="2" s="1"/>
  <c r="M19" i="2"/>
  <c r="I19" i="2"/>
  <c r="P19" i="2" s="1"/>
  <c r="Q19" i="2" s="1"/>
  <c r="H19" i="2"/>
  <c r="F19" i="2"/>
  <c r="O18" i="2"/>
  <c r="N18" i="2"/>
  <c r="M18" i="2"/>
  <c r="I18" i="2"/>
  <c r="P18" i="2" s="1"/>
  <c r="Q18" i="2" s="1"/>
  <c r="H18" i="2"/>
  <c r="F18" i="2"/>
  <c r="N17" i="2"/>
  <c r="O17" i="2" s="1"/>
  <c r="M17" i="2"/>
  <c r="I17" i="2"/>
  <c r="J17" i="2" s="1"/>
  <c r="H17" i="2"/>
  <c r="F17" i="2"/>
  <c r="P16" i="2"/>
  <c r="Q16" i="2" s="1"/>
  <c r="N16" i="2"/>
  <c r="O16" i="2" s="1"/>
  <c r="M16" i="2"/>
  <c r="I16" i="2"/>
  <c r="J16" i="2" s="1"/>
  <c r="H16" i="2"/>
  <c r="F16" i="2"/>
  <c r="N15" i="2"/>
  <c r="O15" i="2" s="1"/>
  <c r="M15" i="2"/>
  <c r="I15" i="2"/>
  <c r="P15" i="2" s="1"/>
  <c r="Q15" i="2" s="1"/>
  <c r="H15" i="2"/>
  <c r="F15" i="2"/>
  <c r="N14" i="2"/>
  <c r="O14" i="2" s="1"/>
  <c r="M14" i="2"/>
  <c r="J14" i="2"/>
  <c r="I14" i="2"/>
  <c r="P14" i="2" s="1"/>
  <c r="Q14" i="2" s="1"/>
  <c r="H14" i="2"/>
  <c r="F14" i="2"/>
  <c r="N10" i="2"/>
  <c r="O10" i="2" s="1"/>
  <c r="M10" i="2"/>
  <c r="I10" i="2"/>
  <c r="P10" i="2" s="1"/>
  <c r="Q10" i="2" s="1"/>
  <c r="H10" i="2"/>
  <c r="F10" i="2"/>
  <c r="N9" i="2"/>
  <c r="O9" i="2" s="1"/>
  <c r="M9" i="2"/>
  <c r="I9" i="2"/>
  <c r="J9" i="2" s="1"/>
  <c r="H9" i="2"/>
  <c r="F9" i="2"/>
  <c r="N8" i="2"/>
  <c r="O8" i="2" s="1"/>
  <c r="M8" i="2"/>
  <c r="I8" i="2"/>
  <c r="P8" i="2" s="1"/>
  <c r="Q8" i="2" s="1"/>
  <c r="H8" i="2"/>
  <c r="F8" i="2"/>
  <c r="O7" i="2"/>
  <c r="N7" i="2"/>
  <c r="M7" i="2"/>
  <c r="I7" i="2"/>
  <c r="P7" i="2" s="1"/>
  <c r="Q7" i="2" s="1"/>
  <c r="H7" i="2"/>
  <c r="F7" i="2"/>
  <c r="O6" i="2"/>
  <c r="N6" i="2"/>
  <c r="M6" i="2"/>
  <c r="I6" i="2"/>
  <c r="P6" i="2" s="1"/>
  <c r="Q6" i="2" s="1"/>
  <c r="H6" i="2"/>
  <c r="F6" i="2"/>
  <c r="O5" i="2"/>
  <c r="N5" i="2"/>
  <c r="M5" i="2"/>
  <c r="I5" i="2"/>
  <c r="P5" i="2" s="1"/>
  <c r="Q5" i="2" s="1"/>
  <c r="H5" i="2"/>
  <c r="F5" i="2"/>
  <c r="O38" i="1"/>
  <c r="T38" i="1" s="1"/>
  <c r="M38" i="1"/>
  <c r="R38" i="1" s="1"/>
  <c r="L38" i="1"/>
  <c r="Q38" i="1" s="1"/>
  <c r="K38" i="1"/>
  <c r="AG38" i="1" s="1"/>
  <c r="I38" i="1"/>
  <c r="H38" i="1"/>
  <c r="N38" i="1" s="1"/>
  <c r="S38" i="1" s="1"/>
  <c r="X37" i="1" s="1"/>
  <c r="S39" i="1" s="1"/>
  <c r="G38" i="1"/>
  <c r="F38" i="1"/>
  <c r="E38" i="1"/>
  <c r="D38" i="1"/>
  <c r="AH38" i="1" s="1"/>
  <c r="R37" i="1"/>
  <c r="W37" i="1" s="1"/>
  <c r="R39" i="1" s="1"/>
  <c r="P37" i="1"/>
  <c r="O37" i="1"/>
  <c r="T37" i="1" s="1"/>
  <c r="Y37" i="1" s="1"/>
  <c r="T39" i="1" s="1"/>
  <c r="N37" i="1"/>
  <c r="S37" i="1" s="1"/>
  <c r="M37" i="1"/>
  <c r="L37" i="1"/>
  <c r="K37" i="1"/>
  <c r="I37" i="1"/>
  <c r="G37" i="1"/>
  <c r="F37" i="1"/>
  <c r="E37" i="1"/>
  <c r="AH37" i="1" s="1"/>
  <c r="D37" i="1"/>
  <c r="AJ37" i="1" s="1"/>
  <c r="R35" i="1"/>
  <c r="Q35" i="1"/>
  <c r="O35" i="1"/>
  <c r="T35" i="1" s="1"/>
  <c r="AD35" i="1" s="1"/>
  <c r="M35" i="1"/>
  <c r="L35" i="1"/>
  <c r="K35" i="1"/>
  <c r="P35" i="1" s="1"/>
  <c r="I35" i="1"/>
  <c r="H35" i="1"/>
  <c r="N35" i="1" s="1"/>
  <c r="S35" i="1" s="1"/>
  <c r="G35" i="1"/>
  <c r="F35" i="1"/>
  <c r="J35" i="1" s="1"/>
  <c r="E35" i="1"/>
  <c r="D35" i="1"/>
  <c r="AI35" i="1" s="1"/>
  <c r="O34" i="1"/>
  <c r="N34" i="1"/>
  <c r="S34" i="1" s="1"/>
  <c r="M34" i="1"/>
  <c r="L34" i="1"/>
  <c r="Q34" i="1" s="1"/>
  <c r="V34" i="1" s="1"/>
  <c r="Q36" i="1" s="1"/>
  <c r="K34" i="1"/>
  <c r="P34" i="1" s="1"/>
  <c r="U34" i="1" s="1"/>
  <c r="P36" i="1" s="1"/>
  <c r="I34" i="1"/>
  <c r="H34" i="1"/>
  <c r="G34" i="1"/>
  <c r="F34" i="1"/>
  <c r="E34" i="1"/>
  <c r="D34" i="1"/>
  <c r="AI34" i="1" s="1"/>
  <c r="O32" i="1"/>
  <c r="N32" i="1"/>
  <c r="AJ32" i="1" s="1"/>
  <c r="M32" i="1"/>
  <c r="R32" i="1" s="1"/>
  <c r="W31" i="1" s="1"/>
  <c r="R33" i="1" s="1"/>
  <c r="L32" i="1"/>
  <c r="Q32" i="1" s="1"/>
  <c r="AA32" i="1" s="1"/>
  <c r="K32" i="1"/>
  <c r="I32" i="1"/>
  <c r="H32" i="1"/>
  <c r="G32" i="1"/>
  <c r="F32" i="1"/>
  <c r="E32" i="1"/>
  <c r="D32" i="1"/>
  <c r="AI32" i="1" s="1"/>
  <c r="AG31" i="1"/>
  <c r="R31" i="1"/>
  <c r="Q31" i="1"/>
  <c r="V31" i="1" s="1"/>
  <c r="Q33" i="1" s="1"/>
  <c r="O31" i="1"/>
  <c r="T31" i="1" s="1"/>
  <c r="M31" i="1"/>
  <c r="L31" i="1"/>
  <c r="K31" i="1"/>
  <c r="P31" i="1" s="1"/>
  <c r="I31" i="1"/>
  <c r="H31" i="1"/>
  <c r="N31" i="1" s="1"/>
  <c r="S31" i="1" s="1"/>
  <c r="G31" i="1"/>
  <c r="J31" i="1" s="1"/>
  <c r="F31" i="1"/>
  <c r="E31" i="1"/>
  <c r="D31" i="1"/>
  <c r="AJ31" i="1" s="1"/>
  <c r="AG29" i="1"/>
  <c r="Q29" i="1"/>
  <c r="M29" i="1"/>
  <c r="L29" i="1"/>
  <c r="K29" i="1"/>
  <c r="P29" i="1" s="1"/>
  <c r="J29" i="1"/>
  <c r="I29" i="1"/>
  <c r="H29" i="1"/>
  <c r="N29" i="1" s="1"/>
  <c r="S29" i="1" s="1"/>
  <c r="G29" i="1"/>
  <c r="F29" i="1"/>
  <c r="E29" i="1"/>
  <c r="D29" i="1"/>
  <c r="R29" i="1" s="1"/>
  <c r="N28" i="1"/>
  <c r="M28" i="1"/>
  <c r="L28" i="1"/>
  <c r="K28" i="1"/>
  <c r="P28" i="1" s="1"/>
  <c r="U28" i="1" s="1"/>
  <c r="P30" i="1" s="1"/>
  <c r="I28" i="1"/>
  <c r="H28" i="1"/>
  <c r="G28" i="1"/>
  <c r="F28" i="1"/>
  <c r="E28" i="1"/>
  <c r="D28" i="1"/>
  <c r="AA26" i="1"/>
  <c r="T26" i="1"/>
  <c r="M26" i="1"/>
  <c r="R26" i="1" s="1"/>
  <c r="L26" i="1"/>
  <c r="Q26" i="1" s="1"/>
  <c r="K26" i="1"/>
  <c r="P26" i="1" s="1"/>
  <c r="I26" i="1"/>
  <c r="H26" i="1"/>
  <c r="N26" i="1" s="1"/>
  <c r="S26" i="1" s="1"/>
  <c r="G26" i="1"/>
  <c r="F26" i="1"/>
  <c r="E26" i="1"/>
  <c r="AH26" i="1" s="1"/>
  <c r="D26" i="1"/>
  <c r="AI26" i="1" s="1"/>
  <c r="P25" i="1"/>
  <c r="M25" i="1"/>
  <c r="R25" i="1" s="1"/>
  <c r="L25" i="1"/>
  <c r="Q25" i="1" s="1"/>
  <c r="K25" i="1"/>
  <c r="I25" i="1"/>
  <c r="H25" i="1"/>
  <c r="N25" i="1" s="1"/>
  <c r="S25" i="1" s="1"/>
  <c r="X25" i="1" s="1"/>
  <c r="S27" i="1" s="1"/>
  <c r="G25" i="1"/>
  <c r="F25" i="1"/>
  <c r="E25" i="1"/>
  <c r="AH25" i="1" s="1"/>
  <c r="D25" i="1"/>
  <c r="Q23" i="1"/>
  <c r="O23" i="1"/>
  <c r="T23" i="1" s="1"/>
  <c r="AD23" i="1" s="1"/>
  <c r="M23" i="1"/>
  <c r="R23" i="1" s="1"/>
  <c r="L23" i="1"/>
  <c r="K23" i="1"/>
  <c r="P23" i="1" s="1"/>
  <c r="I23" i="1"/>
  <c r="H23" i="1"/>
  <c r="G23" i="1"/>
  <c r="F23" i="1"/>
  <c r="E23" i="1"/>
  <c r="D23" i="1"/>
  <c r="T22" i="1"/>
  <c r="O22" i="1"/>
  <c r="N22" i="1"/>
  <c r="S22" i="1" s="1"/>
  <c r="M22" i="1"/>
  <c r="L22" i="1"/>
  <c r="Q22" i="1" s="1"/>
  <c r="V22" i="1" s="1"/>
  <c r="Q24" i="1" s="1"/>
  <c r="K22" i="1"/>
  <c r="I22" i="1"/>
  <c r="H22" i="1"/>
  <c r="G22" i="1"/>
  <c r="F22" i="1"/>
  <c r="E22" i="1"/>
  <c r="D22" i="1"/>
  <c r="AC20" i="1"/>
  <c r="P20" i="1"/>
  <c r="M20" i="1"/>
  <c r="L20" i="1"/>
  <c r="Q20" i="1" s="1"/>
  <c r="K20" i="1"/>
  <c r="I20" i="1"/>
  <c r="H20" i="1"/>
  <c r="N20" i="1" s="1"/>
  <c r="S20" i="1" s="1"/>
  <c r="G20" i="1"/>
  <c r="F20" i="1"/>
  <c r="E20" i="1"/>
  <c r="J20" i="1" s="1"/>
  <c r="D20" i="1"/>
  <c r="AI20" i="1" s="1"/>
  <c r="S19" i="1"/>
  <c r="Q19" i="1"/>
  <c r="O19" i="1"/>
  <c r="T19" i="1" s="1"/>
  <c r="M19" i="1"/>
  <c r="R19" i="1" s="1"/>
  <c r="L19" i="1"/>
  <c r="K19" i="1"/>
  <c r="AG19" i="1" s="1"/>
  <c r="I19" i="1"/>
  <c r="H19" i="1"/>
  <c r="N19" i="1" s="1"/>
  <c r="G19" i="1"/>
  <c r="F19" i="1"/>
  <c r="E19" i="1"/>
  <c r="D19" i="1"/>
  <c r="J19" i="1" s="1"/>
  <c r="AD18" i="1"/>
  <c r="T18" i="1"/>
  <c r="P18" i="1"/>
  <c r="O18" i="1"/>
  <c r="N18" i="1"/>
  <c r="S18" i="1" s="1"/>
  <c r="X18" i="1" s="1"/>
  <c r="M18" i="1"/>
  <c r="R18" i="1" s="1"/>
  <c r="L18" i="1"/>
  <c r="AJ18" i="1" s="1"/>
  <c r="K18" i="1"/>
  <c r="I18" i="1"/>
  <c r="H18" i="1"/>
  <c r="F18" i="1"/>
  <c r="E18" i="1"/>
  <c r="D18" i="1"/>
  <c r="AI18" i="1" s="1"/>
  <c r="AG17" i="1"/>
  <c r="Q17" i="1"/>
  <c r="M17" i="1"/>
  <c r="L17" i="1"/>
  <c r="K17" i="1"/>
  <c r="P17" i="1" s="1"/>
  <c r="I17" i="1"/>
  <c r="H17" i="1"/>
  <c r="G17" i="1"/>
  <c r="F17" i="1"/>
  <c r="E17" i="1"/>
  <c r="D17" i="1"/>
  <c r="AH16" i="1"/>
  <c r="T16" i="1"/>
  <c r="M16" i="1"/>
  <c r="R16" i="1" s="1"/>
  <c r="L16" i="1"/>
  <c r="Q16" i="1" s="1"/>
  <c r="K16" i="1"/>
  <c r="I16" i="1"/>
  <c r="N16" i="1" s="1"/>
  <c r="S16" i="1" s="1"/>
  <c r="H16" i="1"/>
  <c r="G16" i="1"/>
  <c r="F16" i="1"/>
  <c r="E16" i="1"/>
  <c r="D16" i="1"/>
  <c r="AD15" i="1"/>
  <c r="V15" i="1"/>
  <c r="T15" i="1"/>
  <c r="Q15" i="1"/>
  <c r="P15" i="1"/>
  <c r="M15" i="1"/>
  <c r="R15" i="1" s="1"/>
  <c r="L15" i="1"/>
  <c r="K15" i="1"/>
  <c r="I15" i="1"/>
  <c r="H15" i="1"/>
  <c r="N15" i="1" s="1"/>
  <c r="S15" i="1" s="1"/>
  <c r="G15" i="1"/>
  <c r="F15" i="1"/>
  <c r="E15" i="1"/>
  <c r="D15" i="1"/>
  <c r="AI15" i="1" s="1"/>
  <c r="AG14" i="1"/>
  <c r="AD14" i="1"/>
  <c r="T14" i="1"/>
  <c r="R14" i="1"/>
  <c r="Q14" i="1"/>
  <c r="M14" i="1"/>
  <c r="L14" i="1"/>
  <c r="K14" i="1"/>
  <c r="P14" i="1" s="1"/>
  <c r="I14" i="1"/>
  <c r="H14" i="1"/>
  <c r="G14" i="1"/>
  <c r="F14" i="1"/>
  <c r="AH14" i="1" s="1"/>
  <c r="E14" i="1"/>
  <c r="D14" i="1"/>
  <c r="AH13" i="1"/>
  <c r="T13" i="1"/>
  <c r="M13" i="1"/>
  <c r="R13" i="1" s="1"/>
  <c r="L13" i="1"/>
  <c r="Q13" i="1" s="1"/>
  <c r="AA13" i="1" s="1"/>
  <c r="K13" i="1"/>
  <c r="I13" i="1"/>
  <c r="N13" i="1" s="1"/>
  <c r="S13" i="1" s="1"/>
  <c r="H13" i="1"/>
  <c r="G13" i="1"/>
  <c r="F13" i="1"/>
  <c r="E13" i="1"/>
  <c r="D13" i="1"/>
  <c r="N12" i="1"/>
  <c r="S12" i="1" s="1"/>
  <c r="M12" i="1"/>
  <c r="R12" i="1" s="1"/>
  <c r="K12" i="1"/>
  <c r="I12" i="1"/>
  <c r="G12" i="1"/>
  <c r="E12" i="1"/>
  <c r="D12" i="1"/>
  <c r="AH10" i="1"/>
  <c r="T10" i="1"/>
  <c r="M10" i="1"/>
  <c r="R10" i="1" s="1"/>
  <c r="L10" i="1"/>
  <c r="Q10" i="1" s="1"/>
  <c r="AA10" i="1" s="1"/>
  <c r="K10" i="1"/>
  <c r="I10" i="1"/>
  <c r="N10" i="1" s="1"/>
  <c r="S10" i="1" s="1"/>
  <c r="H10" i="1"/>
  <c r="G10" i="1"/>
  <c r="F10" i="1"/>
  <c r="E10" i="1"/>
  <c r="D10" i="1"/>
  <c r="AG10" i="1" s="1"/>
  <c r="AD9" i="1"/>
  <c r="T9" i="1"/>
  <c r="Q9" i="1"/>
  <c r="P9" i="1"/>
  <c r="M9" i="1"/>
  <c r="R9" i="1" s="1"/>
  <c r="L9" i="1"/>
  <c r="K9" i="1"/>
  <c r="AJ9" i="1" s="1"/>
  <c r="I9" i="1"/>
  <c r="H9" i="1"/>
  <c r="N9" i="1" s="1"/>
  <c r="S9" i="1" s="1"/>
  <c r="X9" i="1" s="1"/>
  <c r="S11" i="1" s="1"/>
  <c r="G9" i="1"/>
  <c r="F9" i="1"/>
  <c r="E9" i="1"/>
  <c r="D9" i="1"/>
  <c r="AI9" i="1" s="1"/>
  <c r="Q7" i="1"/>
  <c r="O7" i="1"/>
  <c r="T7" i="1" s="1"/>
  <c r="M7" i="1"/>
  <c r="AI7" i="1" s="1"/>
  <c r="L7" i="1"/>
  <c r="K7" i="1"/>
  <c r="P7" i="1" s="1"/>
  <c r="I7" i="1"/>
  <c r="H7" i="1"/>
  <c r="N7" i="1" s="1"/>
  <c r="S7" i="1" s="1"/>
  <c r="G7" i="1"/>
  <c r="F7" i="1"/>
  <c r="E7" i="1"/>
  <c r="D7" i="1"/>
  <c r="AH6" i="1"/>
  <c r="R6" i="1"/>
  <c r="O6" i="1"/>
  <c r="M6" i="1"/>
  <c r="L6" i="1"/>
  <c r="Q6" i="1" s="1"/>
  <c r="V6" i="1" s="1"/>
  <c r="Q8" i="1" s="1"/>
  <c r="K6" i="1"/>
  <c r="J6" i="1"/>
  <c r="I6" i="1"/>
  <c r="H6" i="1"/>
  <c r="N6" i="1" s="1"/>
  <c r="S6" i="1" s="1"/>
  <c r="X6" i="1" s="1"/>
  <c r="S8" i="1" s="1"/>
  <c r="G6" i="1"/>
  <c r="F6" i="1"/>
  <c r="E6" i="1"/>
  <c r="D6" i="1"/>
  <c r="AG6" i="1" s="1"/>
  <c r="AJ5" i="1"/>
  <c r="P5" i="1"/>
  <c r="O5" i="1"/>
  <c r="N5" i="1"/>
  <c r="S5" i="1" s="1"/>
  <c r="AC5" i="1" s="1"/>
  <c r="M5" i="1"/>
  <c r="L5" i="1"/>
  <c r="Q5" i="1" s="1"/>
  <c r="AA5" i="1" s="1"/>
  <c r="K5" i="1"/>
  <c r="I5" i="1"/>
  <c r="H5" i="1"/>
  <c r="G5" i="1"/>
  <c r="F5" i="1"/>
  <c r="E5" i="1"/>
  <c r="D5" i="1"/>
  <c r="AI5" i="1" s="1"/>
  <c r="R4" i="1"/>
  <c r="O4" i="1"/>
  <c r="M4" i="1"/>
  <c r="L4" i="1"/>
  <c r="Q4" i="1" s="1"/>
  <c r="K4" i="1"/>
  <c r="J4" i="1"/>
  <c r="I4" i="1"/>
  <c r="H4" i="1"/>
  <c r="N4" i="1" s="1"/>
  <c r="S4" i="1" s="1"/>
  <c r="AC4" i="1" s="1"/>
  <c r="G4" i="1"/>
  <c r="F4" i="1"/>
  <c r="E4" i="1"/>
  <c r="D4" i="1"/>
  <c r="P4" i="1" s="1"/>
  <c r="N3" i="1"/>
  <c r="S3" i="1" s="1"/>
  <c r="X3" i="1" s="1"/>
  <c r="M3" i="1"/>
  <c r="L3" i="1"/>
  <c r="Q3" i="1" s="1"/>
  <c r="K3" i="1"/>
  <c r="I3" i="1"/>
  <c r="H3" i="1"/>
  <c r="G3" i="1"/>
  <c r="F3" i="1"/>
  <c r="E3" i="1"/>
  <c r="D3" i="1"/>
  <c r="AJ2" i="1"/>
  <c r="AD2" i="1"/>
  <c r="AC2" i="1"/>
  <c r="AC35" i="1" s="1"/>
  <c r="AB2" i="1"/>
  <c r="AA2" i="1"/>
  <c r="AA34" i="1" s="1"/>
  <c r="Z2" i="1"/>
  <c r="H298" i="6" l="1"/>
  <c r="H286" i="6"/>
  <c r="H280" i="6"/>
  <c r="H328" i="6"/>
  <c r="H10" i="6"/>
  <c r="H274" i="6"/>
  <c r="H322" i="6"/>
  <c r="H4" i="6"/>
  <c r="H310" i="6"/>
  <c r="H358" i="6"/>
  <c r="H376" i="6"/>
  <c r="H388" i="6"/>
  <c r="H400" i="6"/>
  <c r="P9" i="2"/>
  <c r="Q9" i="2" s="1"/>
  <c r="J32" i="2"/>
  <c r="J33" i="2"/>
  <c r="J5" i="2"/>
  <c r="J6" i="2"/>
  <c r="T6" i="2" s="1"/>
  <c r="J7" i="2"/>
  <c r="J18" i="2"/>
  <c r="T18" i="2" s="1"/>
  <c r="P34" i="2"/>
  <c r="Q34" i="2" s="1"/>
  <c r="T34" i="2"/>
  <c r="T23" i="2"/>
  <c r="T25" i="2"/>
  <c r="T33" i="2"/>
  <c r="T5" i="2"/>
  <c r="T7" i="2"/>
  <c r="P27" i="2"/>
  <c r="Q27" i="2" s="1"/>
  <c r="T27" i="2" s="1"/>
  <c r="T32" i="2"/>
  <c r="T14" i="2"/>
  <c r="I3" i="3"/>
  <c r="N27" i="3"/>
  <c r="E64" i="3"/>
  <c r="O40" i="3"/>
  <c r="P40" i="3" s="1"/>
  <c r="I42" i="3"/>
  <c r="U42" i="3" s="1"/>
  <c r="L61" i="3"/>
  <c r="E32" i="3"/>
  <c r="I38" i="3"/>
  <c r="U38" i="3" s="1"/>
  <c r="G32" i="3"/>
  <c r="L65" i="3"/>
  <c r="H65" i="3"/>
  <c r="L33" i="3"/>
  <c r="I49" i="3"/>
  <c r="Q62" i="3"/>
  <c r="E31" i="3"/>
  <c r="M64" i="3"/>
  <c r="O60" i="3"/>
  <c r="G65" i="4"/>
  <c r="I31" i="4"/>
  <c r="L31" i="4"/>
  <c r="G29" i="4"/>
  <c r="I49" i="4"/>
  <c r="S49" i="4" s="1"/>
  <c r="X16" i="4"/>
  <c r="X18" i="4" s="1"/>
  <c r="L15" i="4"/>
  <c r="X64" i="4"/>
  <c r="I59" i="4"/>
  <c r="I53" i="4"/>
  <c r="O38" i="4"/>
  <c r="P38" i="4" s="1"/>
  <c r="X17" i="4"/>
  <c r="M61" i="4"/>
  <c r="I35" i="4"/>
  <c r="S35" i="4" s="1"/>
  <c r="I28" i="4"/>
  <c r="G64" i="4"/>
  <c r="I67" i="5"/>
  <c r="I69" i="5"/>
  <c r="M79" i="5"/>
  <c r="M19" i="5"/>
  <c r="X20" i="5"/>
  <c r="L40" i="5"/>
  <c r="E83" i="5"/>
  <c r="I11" i="5"/>
  <c r="M17" i="5"/>
  <c r="G20" i="5"/>
  <c r="G21" i="5"/>
  <c r="S45" i="5"/>
  <c r="N12" i="5"/>
  <c r="N17" i="5" s="1"/>
  <c r="L37" i="5"/>
  <c r="L39" i="5"/>
  <c r="X50" i="5"/>
  <c r="X64" i="5" s="1"/>
  <c r="H81" i="5"/>
  <c r="H82" i="5"/>
  <c r="E81" i="5"/>
  <c r="L19" i="5"/>
  <c r="E19" i="5"/>
  <c r="I15" i="5"/>
  <c r="I20" i="5" s="1"/>
  <c r="I16" i="5"/>
  <c r="O59" i="5"/>
  <c r="P59" i="5" s="1"/>
  <c r="O72" i="5"/>
  <c r="P72" i="5" s="1"/>
  <c r="O56" i="5"/>
  <c r="P56" i="5" s="1"/>
  <c r="S56" i="5" s="1"/>
  <c r="O4" i="5"/>
  <c r="P4" i="5" s="1"/>
  <c r="O10" i="5"/>
  <c r="P10" i="5" s="1"/>
  <c r="I29" i="5"/>
  <c r="S29" i="5" s="1"/>
  <c r="X79" i="5"/>
  <c r="M82" i="5"/>
  <c r="S5" i="5"/>
  <c r="G17" i="5"/>
  <c r="O12" i="5"/>
  <c r="P12" i="5" s="1"/>
  <c r="P17" i="5" s="1"/>
  <c r="X21" i="5"/>
  <c r="I34" i="5"/>
  <c r="M40" i="5"/>
  <c r="O50" i="5"/>
  <c r="P50" i="5" s="1"/>
  <c r="S50" i="5" s="1"/>
  <c r="O57" i="5"/>
  <c r="P57" i="5" s="1"/>
  <c r="S59" i="5"/>
  <c r="I63" i="5"/>
  <c r="S63" i="5" s="1"/>
  <c r="O73" i="5"/>
  <c r="P73" i="5" s="1"/>
  <c r="S73" i="5" s="1"/>
  <c r="G81" i="5"/>
  <c r="G82" i="5"/>
  <c r="I21" i="5"/>
  <c r="N40" i="5"/>
  <c r="S67" i="5"/>
  <c r="S69" i="5"/>
  <c r="O8" i="5"/>
  <c r="O18" i="5" s="1"/>
  <c r="E17" i="5"/>
  <c r="G19" i="5"/>
  <c r="L20" i="5"/>
  <c r="L21" i="5"/>
  <c r="I24" i="5"/>
  <c r="S24" i="5" s="1"/>
  <c r="M39" i="5"/>
  <c r="N81" i="5"/>
  <c r="G79" i="5"/>
  <c r="L81" i="5"/>
  <c r="I77" i="5"/>
  <c r="L83" i="5"/>
  <c r="M20" i="5"/>
  <c r="N34" i="5"/>
  <c r="N39" i="5" s="1"/>
  <c r="G41" i="5"/>
  <c r="H39" i="5"/>
  <c r="I43" i="5"/>
  <c r="S43" i="5" s="1"/>
  <c r="I44" i="5"/>
  <c r="S44" i="5" s="1"/>
  <c r="I52" i="5"/>
  <c r="S52" i="5" s="1"/>
  <c r="M81" i="5"/>
  <c r="L82" i="5"/>
  <c r="M83" i="5"/>
  <c r="X83" i="5"/>
  <c r="N20" i="5"/>
  <c r="E40" i="5"/>
  <c r="O61" i="5"/>
  <c r="P61" i="5" s="1"/>
  <c r="S61" i="5" s="1"/>
  <c r="L79" i="5"/>
  <c r="H21" i="5"/>
  <c r="E39" i="5"/>
  <c r="L41" i="5"/>
  <c r="G39" i="5"/>
  <c r="I82" i="5"/>
  <c r="R38" i="3"/>
  <c r="Q38" i="3"/>
  <c r="O7" i="3"/>
  <c r="P7" i="3" s="1"/>
  <c r="H29" i="3"/>
  <c r="G31" i="3"/>
  <c r="Z50" i="3"/>
  <c r="U39" i="3"/>
  <c r="L63" i="3"/>
  <c r="L64" i="3"/>
  <c r="M65" i="3"/>
  <c r="Z62" i="3"/>
  <c r="U7" i="3"/>
  <c r="U10" i="3"/>
  <c r="U16" i="3"/>
  <c r="H31" i="3"/>
  <c r="L32" i="3"/>
  <c r="M33" i="3"/>
  <c r="O47" i="3"/>
  <c r="P47" i="3" s="1"/>
  <c r="R47" i="3" s="1"/>
  <c r="M63" i="3"/>
  <c r="N60" i="3"/>
  <c r="N65" i="3" s="1"/>
  <c r="Z64" i="3"/>
  <c r="I22" i="3"/>
  <c r="L29" i="3"/>
  <c r="I26" i="3"/>
  <c r="N28" i="3"/>
  <c r="I39" i="3"/>
  <c r="G61" i="3"/>
  <c r="U15" i="3"/>
  <c r="N29" i="3"/>
  <c r="N32" i="3"/>
  <c r="R62" i="3"/>
  <c r="I5" i="3"/>
  <c r="U5" i="3" s="1"/>
  <c r="I6" i="3"/>
  <c r="I19" i="3"/>
  <c r="I29" i="3" s="1"/>
  <c r="O23" i="3"/>
  <c r="P23" i="3" s="1"/>
  <c r="R23" i="3" s="1"/>
  <c r="O24" i="3"/>
  <c r="P24" i="3" s="1"/>
  <c r="R24" i="3" s="1"/>
  <c r="M31" i="3"/>
  <c r="E33" i="3"/>
  <c r="I35" i="3"/>
  <c r="U35" i="3" s="1"/>
  <c r="U55" i="3"/>
  <c r="E63" i="3"/>
  <c r="E65" i="3"/>
  <c r="N26" i="3"/>
  <c r="N31" i="3" s="1"/>
  <c r="G33" i="3"/>
  <c r="I54" i="3"/>
  <c r="I64" i="3" s="1"/>
  <c r="G63" i="3"/>
  <c r="G65" i="3"/>
  <c r="E29" i="3"/>
  <c r="H33" i="3"/>
  <c r="U49" i="3"/>
  <c r="M61" i="3"/>
  <c r="H63" i="3"/>
  <c r="H64" i="3"/>
  <c r="I65" i="3"/>
  <c r="O32" i="4"/>
  <c r="P27" i="4"/>
  <c r="P32" i="4" s="1"/>
  <c r="H31" i="4"/>
  <c r="M15" i="4"/>
  <c r="X63" i="4"/>
  <c r="X66" i="4" s="1"/>
  <c r="S60" i="4"/>
  <c r="S53" i="4"/>
  <c r="S43" i="4"/>
  <c r="O37" i="4"/>
  <c r="P37" i="4" s="1"/>
  <c r="X50" i="4"/>
  <c r="I5" i="4"/>
  <c r="H64" i="4"/>
  <c r="O54" i="4"/>
  <c r="P54" i="4" s="1"/>
  <c r="P64" i="4" s="1"/>
  <c r="E61" i="4"/>
  <c r="O44" i="4"/>
  <c r="P44" i="4" s="1"/>
  <c r="S44" i="4" s="1"/>
  <c r="H32" i="4"/>
  <c r="O28" i="4"/>
  <c r="O26" i="4"/>
  <c r="S23" i="4"/>
  <c r="O11" i="4"/>
  <c r="O16" i="4" s="1"/>
  <c r="N15" i="4"/>
  <c r="N64" i="4"/>
  <c r="M31" i="4"/>
  <c r="H29" i="4"/>
  <c r="O12" i="4"/>
  <c r="P12" i="4" s="1"/>
  <c r="X61" i="4"/>
  <c r="L63" i="4"/>
  <c r="H17" i="4"/>
  <c r="X13" i="4"/>
  <c r="I11" i="4"/>
  <c r="I16" i="4" s="1"/>
  <c r="S3" i="4"/>
  <c r="S6" i="4"/>
  <c r="S59" i="4"/>
  <c r="I63" i="4"/>
  <c r="P56" i="4"/>
  <c r="P61" i="4" s="1"/>
  <c r="O61" i="4"/>
  <c r="S38" i="4"/>
  <c r="S22" i="4"/>
  <c r="I32" i="4"/>
  <c r="N31" i="4"/>
  <c r="S21" i="4"/>
  <c r="N16" i="4"/>
  <c r="P7" i="4"/>
  <c r="P17" i="4" s="1"/>
  <c r="O17" i="4"/>
  <c r="N61" i="4"/>
  <c r="N32" i="4"/>
  <c r="S27" i="4"/>
  <c r="S5" i="4"/>
  <c r="I65" i="4"/>
  <c r="S37" i="4"/>
  <c r="P10" i="4"/>
  <c r="P15" i="4" s="1"/>
  <c r="O15" i="4"/>
  <c r="I13" i="4"/>
  <c r="I64" i="4"/>
  <c r="M16" i="4"/>
  <c r="E16" i="4"/>
  <c r="H15" i="4"/>
  <c r="M65" i="4"/>
  <c r="E65" i="4"/>
  <c r="O55" i="4"/>
  <c r="S51" i="4"/>
  <c r="I47" i="4"/>
  <c r="S47" i="4" s="1"/>
  <c r="O45" i="4"/>
  <c r="P45" i="4" s="1"/>
  <c r="S45" i="4" s="1"/>
  <c r="O39" i="4"/>
  <c r="P39" i="4" s="1"/>
  <c r="S39" i="4" s="1"/>
  <c r="M29" i="4"/>
  <c r="I24" i="4"/>
  <c r="I19" i="4"/>
  <c r="S19" i="4" s="1"/>
  <c r="N12" i="4"/>
  <c r="N17" i="4" s="1"/>
  <c r="I7" i="4"/>
  <c r="S7" i="4" s="1"/>
  <c r="H61" i="4"/>
  <c r="O58" i="4"/>
  <c r="I56" i="4"/>
  <c r="S54" i="4"/>
  <c r="O48" i="4"/>
  <c r="P48" i="4" s="1"/>
  <c r="S48" i="4" s="1"/>
  <c r="O42" i="4"/>
  <c r="P42" i="4" s="1"/>
  <c r="S42" i="4" s="1"/>
  <c r="I40" i="4"/>
  <c r="S40" i="4" s="1"/>
  <c r="I10" i="4"/>
  <c r="I15" i="4" s="1"/>
  <c r="O8" i="4"/>
  <c r="H63" i="4"/>
  <c r="I33" i="4"/>
  <c r="O24" i="4"/>
  <c r="E17" i="4"/>
  <c r="H13" i="4"/>
  <c r="O21" i="5"/>
  <c r="P16" i="5"/>
  <c r="P21" i="5" s="1"/>
  <c r="O81" i="5"/>
  <c r="O20" i="5"/>
  <c r="P15" i="5"/>
  <c r="I40" i="5"/>
  <c r="N41" i="5"/>
  <c r="S47" i="5"/>
  <c r="S48" i="5"/>
  <c r="X22" i="5"/>
  <c r="S74" i="5"/>
  <c r="S79" i="5" s="1"/>
  <c r="P78" i="5"/>
  <c r="S4" i="5"/>
  <c r="P32" i="5"/>
  <c r="O39" i="5"/>
  <c r="P34" i="5"/>
  <c r="P39" i="5" s="1"/>
  <c r="P14" i="5"/>
  <c r="P19" i="5" s="1"/>
  <c r="O19" i="5"/>
  <c r="S57" i="5"/>
  <c r="O79" i="5"/>
  <c r="P74" i="5"/>
  <c r="P79" i="5" s="1"/>
  <c r="S9" i="5"/>
  <c r="S10" i="5"/>
  <c r="S11" i="5"/>
  <c r="N37" i="5"/>
  <c r="I41" i="5"/>
  <c r="S72" i="5"/>
  <c r="H79" i="5"/>
  <c r="I3" i="5"/>
  <c r="S3" i="5" s="1"/>
  <c r="I7" i="5"/>
  <c r="S7" i="5" s="1"/>
  <c r="P8" i="5"/>
  <c r="P18" i="5" s="1"/>
  <c r="I14" i="5"/>
  <c r="I19" i="5" s="1"/>
  <c r="N16" i="5"/>
  <c r="N21" i="5" s="1"/>
  <c r="I23" i="5"/>
  <c r="S23" i="5" s="1"/>
  <c r="O25" i="5"/>
  <c r="P25" i="5" s="1"/>
  <c r="S25" i="5" s="1"/>
  <c r="I28" i="5"/>
  <c r="I38" i="5" s="1"/>
  <c r="O30" i="5"/>
  <c r="P30" i="5" s="1"/>
  <c r="S30" i="5" s="1"/>
  <c r="I32" i="5"/>
  <c r="I37" i="5" s="1"/>
  <c r="O35" i="5"/>
  <c r="E37" i="5"/>
  <c r="M37" i="5"/>
  <c r="G40" i="5"/>
  <c r="E41" i="5"/>
  <c r="M41" i="5"/>
  <c r="I49" i="5"/>
  <c r="S49" i="5" s="1"/>
  <c r="I51" i="5"/>
  <c r="S51" i="5" s="1"/>
  <c r="I55" i="5"/>
  <c r="S55" i="5" s="1"/>
  <c r="I65" i="5"/>
  <c r="S65" i="5" s="1"/>
  <c r="N70" i="5"/>
  <c r="N80" i="5" s="1"/>
  <c r="I71" i="5"/>
  <c r="S71" i="5" s="1"/>
  <c r="I74" i="5"/>
  <c r="I79" i="5" s="1"/>
  <c r="P76" i="5"/>
  <c r="P81" i="5" s="1"/>
  <c r="G83" i="5"/>
  <c r="H19" i="5"/>
  <c r="H40" i="5"/>
  <c r="O54" i="5"/>
  <c r="P54" i="5" s="1"/>
  <c r="S54" i="5" s="1"/>
  <c r="I58" i="5"/>
  <c r="S58" i="5" s="1"/>
  <c r="I62" i="5"/>
  <c r="S62" i="5" s="1"/>
  <c r="X65" i="5"/>
  <c r="O66" i="5"/>
  <c r="P66" i="5" s="1"/>
  <c r="S66" i="5" s="1"/>
  <c r="O70" i="5"/>
  <c r="N77" i="5"/>
  <c r="N82" i="5" s="1"/>
  <c r="I78" i="5"/>
  <c r="I83" i="5" s="1"/>
  <c r="H83" i="5"/>
  <c r="O17" i="5"/>
  <c r="O27" i="5"/>
  <c r="P27" i="5" s="1"/>
  <c r="S27" i="5" s="1"/>
  <c r="O31" i="5"/>
  <c r="P31" i="5" s="1"/>
  <c r="S31" i="5" s="1"/>
  <c r="O36" i="5"/>
  <c r="E38" i="5"/>
  <c r="M38" i="5"/>
  <c r="H80" i="5"/>
  <c r="I8" i="5"/>
  <c r="I18" i="5" s="1"/>
  <c r="N14" i="5"/>
  <c r="N19" i="5" s="1"/>
  <c r="H17" i="5"/>
  <c r="M18" i="5"/>
  <c r="H37" i="5"/>
  <c r="H41" i="5"/>
  <c r="N74" i="5"/>
  <c r="N79" i="5" s="1"/>
  <c r="I76" i="5"/>
  <c r="P77" i="5"/>
  <c r="P82" i="5" s="1"/>
  <c r="E82" i="5"/>
  <c r="H20" i="5"/>
  <c r="O28" i="5"/>
  <c r="N78" i="5"/>
  <c r="N83" i="5" s="1"/>
  <c r="E79" i="5"/>
  <c r="R21" i="3"/>
  <c r="Q21" i="3"/>
  <c r="U47" i="3"/>
  <c r="R54" i="3"/>
  <c r="Q54" i="3"/>
  <c r="Z18" i="3"/>
  <c r="U8" i="3"/>
  <c r="R49" i="3"/>
  <c r="Q49" i="3"/>
  <c r="R51" i="3"/>
  <c r="Q51" i="3"/>
  <c r="R22" i="3"/>
  <c r="Q22" i="3"/>
  <c r="R37" i="3"/>
  <c r="Q37" i="3"/>
  <c r="R40" i="3"/>
  <c r="Q40" i="3"/>
  <c r="Q43" i="3"/>
  <c r="R43" i="3"/>
  <c r="R48" i="3"/>
  <c r="Q48" i="3"/>
  <c r="R53" i="3"/>
  <c r="Q53" i="3"/>
  <c r="R10" i="3"/>
  <c r="Q10" i="3"/>
  <c r="R17" i="3"/>
  <c r="Q17" i="3"/>
  <c r="U23" i="3"/>
  <c r="I33" i="3"/>
  <c r="U37" i="3"/>
  <c r="U48" i="3"/>
  <c r="N61" i="3"/>
  <c r="R3" i="3"/>
  <c r="Q3" i="3"/>
  <c r="R13" i="3"/>
  <c r="Q13" i="3"/>
  <c r="U22" i="3"/>
  <c r="O32" i="3"/>
  <c r="P27" i="3"/>
  <c r="U40" i="3"/>
  <c r="U3" i="3"/>
  <c r="U17" i="3"/>
  <c r="R39" i="3"/>
  <c r="Q39" i="3"/>
  <c r="U45" i="3"/>
  <c r="U6" i="3"/>
  <c r="R15" i="3"/>
  <c r="Q15" i="3"/>
  <c r="Q16" i="3"/>
  <c r="R16" i="3"/>
  <c r="N33" i="3"/>
  <c r="R42" i="3"/>
  <c r="Q42" i="3"/>
  <c r="N63" i="3"/>
  <c r="N64" i="3"/>
  <c r="O65" i="3"/>
  <c r="R5" i="3"/>
  <c r="Q5" i="3"/>
  <c r="Q6" i="3"/>
  <c r="R6" i="3"/>
  <c r="R8" i="3"/>
  <c r="Q8" i="3"/>
  <c r="Q11" i="3"/>
  <c r="R11" i="3"/>
  <c r="R19" i="3"/>
  <c r="Q19" i="3"/>
  <c r="R35" i="3"/>
  <c r="Q35" i="3"/>
  <c r="R55" i="3"/>
  <c r="Q55" i="3"/>
  <c r="P56" i="3"/>
  <c r="U56" i="3" s="1"/>
  <c r="O61" i="3"/>
  <c r="I11" i="3"/>
  <c r="U11" i="3" s="1"/>
  <c r="Q23" i="3"/>
  <c r="O26" i="3"/>
  <c r="I27" i="3"/>
  <c r="I32" i="3" s="1"/>
  <c r="O28" i="3"/>
  <c r="M29" i="3"/>
  <c r="Q30" i="3"/>
  <c r="I43" i="3"/>
  <c r="U43" i="3" s="1"/>
  <c r="Q45" i="3"/>
  <c r="Q47" i="3"/>
  <c r="P60" i="3"/>
  <c r="E61" i="3"/>
  <c r="H32" i="3"/>
  <c r="O12" i="3"/>
  <c r="P12" i="3" s="1"/>
  <c r="U12" i="3" s="1"/>
  <c r="O44" i="3"/>
  <c r="P44" i="3" s="1"/>
  <c r="U44" i="3" s="1"/>
  <c r="G64" i="3"/>
  <c r="I13" i="3"/>
  <c r="U13" i="3" s="1"/>
  <c r="I21" i="3"/>
  <c r="I31" i="3" s="1"/>
  <c r="G29" i="3"/>
  <c r="I51" i="3"/>
  <c r="I61" i="3" s="1"/>
  <c r="I53" i="3"/>
  <c r="I63" i="3" s="1"/>
  <c r="O59" i="3"/>
  <c r="H61" i="3"/>
  <c r="U19" i="3"/>
  <c r="O58" i="3"/>
  <c r="T24" i="2"/>
  <c r="T9" i="2"/>
  <c r="T16" i="2"/>
  <c r="T8" i="2"/>
  <c r="T28" i="2"/>
  <c r="J8" i="2"/>
  <c r="J10" i="2"/>
  <c r="T10" i="2" s="1"/>
  <c r="J15" i="2"/>
  <c r="T15" i="2" s="1"/>
  <c r="P17" i="2"/>
  <c r="Q17" i="2" s="1"/>
  <c r="T17" i="2" s="1"/>
  <c r="J19" i="2"/>
  <c r="T19" i="2" s="1"/>
  <c r="J26" i="2"/>
  <c r="T26" i="2" s="1"/>
  <c r="J28" i="2"/>
  <c r="P35" i="2"/>
  <c r="Q35" i="2" s="1"/>
  <c r="T35" i="2" s="1"/>
  <c r="J36" i="2"/>
  <c r="T36" i="2" s="1"/>
  <c r="P37" i="2"/>
  <c r="Q37" i="2" s="1"/>
  <c r="T37" i="2" s="1"/>
  <c r="U31" i="1"/>
  <c r="P33" i="1" s="1"/>
  <c r="AJ7" i="1"/>
  <c r="Y9" i="1"/>
  <c r="T11" i="1" s="1"/>
  <c r="AJ12" i="1"/>
  <c r="P13" i="1"/>
  <c r="AJ13" i="1"/>
  <c r="P16" i="1"/>
  <c r="U15" i="1" s="1"/>
  <c r="AJ16" i="1"/>
  <c r="AI22" i="1"/>
  <c r="AH22" i="1"/>
  <c r="R22" i="1"/>
  <c r="J22" i="1"/>
  <c r="AG22" i="1"/>
  <c r="P22" i="1"/>
  <c r="U22" i="1" s="1"/>
  <c r="P24" i="1" s="1"/>
  <c r="AA3" i="1"/>
  <c r="V3" i="1"/>
  <c r="J7" i="1"/>
  <c r="V9" i="1"/>
  <c r="Q11" i="1" s="1"/>
  <c r="N14" i="1"/>
  <c r="S14" i="1" s="1"/>
  <c r="J14" i="1"/>
  <c r="AJ15" i="1"/>
  <c r="N17" i="1"/>
  <c r="S17" i="1" s="1"/>
  <c r="J17" i="1"/>
  <c r="AJ3" i="1"/>
  <c r="T3" i="1"/>
  <c r="AI3" i="1"/>
  <c r="J3" i="1"/>
  <c r="AH3" i="1"/>
  <c r="AG3" i="1"/>
  <c r="P3" i="1"/>
  <c r="U3" i="1" s="1"/>
  <c r="R3" i="1"/>
  <c r="P10" i="1"/>
  <c r="AJ10" i="1"/>
  <c r="AG13" i="1"/>
  <c r="AG16" i="1"/>
  <c r="N23" i="1"/>
  <c r="S23" i="1" s="1"/>
  <c r="X22" i="1" s="1"/>
  <c r="S24" i="1" s="1"/>
  <c r="V25" i="1"/>
  <c r="Q27" i="1" s="1"/>
  <c r="AJ26" i="1"/>
  <c r="Q28" i="1"/>
  <c r="V28" i="1" s="1"/>
  <c r="Q30" i="1" s="1"/>
  <c r="Y31" i="1"/>
  <c r="T33" i="1" s="1"/>
  <c r="X34" i="1"/>
  <c r="S36" i="1" s="1"/>
  <c r="X15" i="1"/>
  <c r="Y22" i="1"/>
  <c r="T24" i="1" s="1"/>
  <c r="AJ25" i="1"/>
  <c r="W25" i="1"/>
  <c r="R27" i="1" s="1"/>
  <c r="AJ28" i="1"/>
  <c r="T28" i="1"/>
  <c r="Y28" i="1" s="1"/>
  <c r="T30" i="1" s="1"/>
  <c r="AI28" i="1"/>
  <c r="S28" i="1"/>
  <c r="J28" i="1"/>
  <c r="AH28" i="1"/>
  <c r="AG28" i="1"/>
  <c r="R28" i="1"/>
  <c r="W28" i="1" s="1"/>
  <c r="R30" i="1" s="1"/>
  <c r="Z32" i="1"/>
  <c r="U25" i="1"/>
  <c r="P27" i="1" s="1"/>
  <c r="AC3" i="1"/>
  <c r="W6" i="1"/>
  <c r="R8" i="1" s="1"/>
  <c r="AB6" i="1"/>
  <c r="AB9" i="1"/>
  <c r="W9" i="1"/>
  <c r="R11" i="1" s="1"/>
  <c r="AB12" i="1"/>
  <c r="W12" i="1"/>
  <c r="AJ14" i="1"/>
  <c r="AJ17" i="1"/>
  <c r="AJ20" i="1"/>
  <c r="AJ22" i="1"/>
  <c r="U9" i="1"/>
  <c r="P11" i="1" s="1"/>
  <c r="X12" i="1"/>
  <c r="P19" i="1"/>
  <c r="Z19" i="1" s="1"/>
  <c r="AE19" i="1" s="1"/>
  <c r="AI19" i="1"/>
  <c r="AJ23" i="1"/>
  <c r="AD3" i="1"/>
  <c r="AG4" i="1"/>
  <c r="AA6" i="1"/>
  <c r="AI6" i="1"/>
  <c r="AC7" i="1"/>
  <c r="Z10" i="1"/>
  <c r="AI10" i="1"/>
  <c r="AK10" i="1" s="1"/>
  <c r="Z13" i="1"/>
  <c r="AI13" i="1"/>
  <c r="AI16" i="1"/>
  <c r="R17" i="1"/>
  <c r="W15" i="1" s="1"/>
  <c r="AH19" i="1"/>
  <c r="AK19" i="1" s="1"/>
  <c r="AD20" i="1"/>
  <c r="AC22" i="1"/>
  <c r="J23" i="1"/>
  <c r="AG25" i="1"/>
  <c r="AB26" i="1"/>
  <c r="AD28" i="1"/>
  <c r="T29" i="1"/>
  <c r="AH29" i="1"/>
  <c r="AK29" i="1" s="1"/>
  <c r="Z31" i="1"/>
  <c r="AH31" i="1"/>
  <c r="AK31" i="1" s="1"/>
  <c r="AB32" i="1"/>
  <c r="AC34" i="1"/>
  <c r="Q37" i="1"/>
  <c r="V37" i="1" s="1"/>
  <c r="Q39" i="1" s="1"/>
  <c r="AG37" i="1"/>
  <c r="AK37" i="1" s="1"/>
  <c r="AA38" i="1"/>
  <c r="AJ38" i="1"/>
  <c r="T34" i="1"/>
  <c r="Y34" i="1" s="1"/>
  <c r="T36" i="1" s="1"/>
  <c r="AI38" i="1"/>
  <c r="AK38" i="1" s="1"/>
  <c r="T4" i="1"/>
  <c r="AD4" i="1" s="1"/>
  <c r="AH4" i="1"/>
  <c r="T6" i="1"/>
  <c r="Y6" i="1" s="1"/>
  <c r="T8" i="1" s="1"/>
  <c r="AJ6" i="1"/>
  <c r="AK6" i="1" s="1"/>
  <c r="AL6" i="1" s="1"/>
  <c r="AD7" i="1"/>
  <c r="P12" i="1"/>
  <c r="U12" i="1" s="1"/>
  <c r="AA16" i="1"/>
  <c r="R20" i="1"/>
  <c r="W18" i="1" s="1"/>
  <c r="AD22" i="1"/>
  <c r="AG23" i="1"/>
  <c r="Z25" i="1"/>
  <c r="AC26" i="1"/>
  <c r="Z29" i="1"/>
  <c r="AI29" i="1"/>
  <c r="AA31" i="1"/>
  <c r="AI31" i="1"/>
  <c r="P32" i="1"/>
  <c r="AD34" i="1"/>
  <c r="AG35" i="1"/>
  <c r="J37" i="1"/>
  <c r="Z37" i="1"/>
  <c r="AB38" i="1"/>
  <c r="Z4" i="1"/>
  <c r="AI4" i="1"/>
  <c r="AC6" i="1"/>
  <c r="R7" i="1"/>
  <c r="AB7" i="1" s="1"/>
  <c r="AG9" i="1"/>
  <c r="AK9" i="1" s="1"/>
  <c r="AB10" i="1"/>
  <c r="Q12" i="1"/>
  <c r="V12" i="1" s="1"/>
  <c r="AG12" i="1"/>
  <c r="AB13" i="1"/>
  <c r="AG15" i="1"/>
  <c r="AB16" i="1"/>
  <c r="T17" i="1"/>
  <c r="AD17" i="1" s="1"/>
  <c r="AH17" i="1"/>
  <c r="AK17" i="1" s="1"/>
  <c r="Q18" i="1"/>
  <c r="V18" i="1" s="1"/>
  <c r="AG18" i="1"/>
  <c r="AA19" i="1"/>
  <c r="AJ19" i="1"/>
  <c r="AG20" i="1"/>
  <c r="AH23" i="1"/>
  <c r="J25" i="1"/>
  <c r="AA25" i="1"/>
  <c r="AI25" i="1"/>
  <c r="AD26" i="1"/>
  <c r="AA29" i="1"/>
  <c r="AJ29" i="1"/>
  <c r="AB31" i="1"/>
  <c r="AD32" i="1"/>
  <c r="AH35" i="1"/>
  <c r="AA37" i="1"/>
  <c r="AI37" i="1"/>
  <c r="P38" i="1"/>
  <c r="Z38" i="1" s="1"/>
  <c r="AE38" i="1" s="1"/>
  <c r="AC38" i="1"/>
  <c r="AJ34" i="1"/>
  <c r="AA4" i="1"/>
  <c r="AJ4" i="1"/>
  <c r="J5" i="1"/>
  <c r="R5" i="1"/>
  <c r="AB5" i="1" s="1"/>
  <c r="AD6" i="1"/>
  <c r="AG7" i="1"/>
  <c r="AK7" i="1" s="1"/>
  <c r="Z9" i="1"/>
  <c r="AH9" i="1"/>
  <c r="AC10" i="1"/>
  <c r="AH12" i="1"/>
  <c r="AC13" i="1"/>
  <c r="Z14" i="1"/>
  <c r="AI14" i="1"/>
  <c r="AK14" i="1" s="1"/>
  <c r="Z15" i="1"/>
  <c r="AH15" i="1"/>
  <c r="AC16" i="1"/>
  <c r="Z17" i="1"/>
  <c r="AI17" i="1"/>
  <c r="J18" i="1"/>
  <c r="Z18" i="1"/>
  <c r="AH18" i="1"/>
  <c r="AB19" i="1"/>
  <c r="T20" i="1"/>
  <c r="Y18" i="1" s="1"/>
  <c r="AH20" i="1"/>
  <c r="Z23" i="1"/>
  <c r="AE23" i="1" s="1"/>
  <c r="AI23" i="1"/>
  <c r="T25" i="1"/>
  <c r="Y25" i="1" s="1"/>
  <c r="T27" i="1" s="1"/>
  <c r="AB25" i="1"/>
  <c r="AB29" i="1"/>
  <c r="AC31" i="1"/>
  <c r="J32" i="1"/>
  <c r="Z35" i="1"/>
  <c r="AB37" i="1"/>
  <c r="AD38" i="1"/>
  <c r="Z3" i="1"/>
  <c r="AE3" i="1" s="1"/>
  <c r="AB4" i="1"/>
  <c r="AG5" i="1"/>
  <c r="AH7" i="1"/>
  <c r="J9" i="1"/>
  <c r="AA9" i="1"/>
  <c r="AD10" i="1"/>
  <c r="AI12" i="1"/>
  <c r="AD13" i="1"/>
  <c r="AA14" i="1"/>
  <c r="J15" i="1"/>
  <c r="AA15" i="1"/>
  <c r="AD16" i="1"/>
  <c r="AA17" i="1"/>
  <c r="AC19" i="1"/>
  <c r="Z20" i="1"/>
  <c r="AE20" i="1" s="1"/>
  <c r="AA23" i="1"/>
  <c r="AC25" i="1"/>
  <c r="J26" i="1"/>
  <c r="AG26" i="1"/>
  <c r="Z28" i="1"/>
  <c r="AC29" i="1"/>
  <c r="AD31" i="1"/>
  <c r="S32" i="1"/>
  <c r="X31" i="1" s="1"/>
  <c r="S33" i="1" s="1"/>
  <c r="AG32" i="1"/>
  <c r="AG34" i="1"/>
  <c r="AA35" i="1"/>
  <c r="AJ35" i="1"/>
  <c r="AC37" i="1"/>
  <c r="J38" i="1"/>
  <c r="T5" i="1"/>
  <c r="AD5" i="1" s="1"/>
  <c r="AH5" i="1"/>
  <c r="P6" i="1"/>
  <c r="Z7" i="1"/>
  <c r="J12" i="1"/>
  <c r="T12" i="1"/>
  <c r="AB14" i="1"/>
  <c r="AB15" i="1"/>
  <c r="AB17" i="1"/>
  <c r="AB18" i="1"/>
  <c r="AD19" i="1"/>
  <c r="AA20" i="1"/>
  <c r="AB23" i="1"/>
  <c r="AA28" i="1"/>
  <c r="AD29" i="1"/>
  <c r="T32" i="1"/>
  <c r="AH32" i="1"/>
  <c r="J34" i="1"/>
  <c r="R34" i="1"/>
  <c r="Z34" i="1"/>
  <c r="AH34" i="1"/>
  <c r="AB35" i="1"/>
  <c r="AD37" i="1"/>
  <c r="AB3" i="1"/>
  <c r="Z5" i="1"/>
  <c r="AA7" i="1"/>
  <c r="AC9" i="1"/>
  <c r="J10" i="1"/>
  <c r="AC12" i="1"/>
  <c r="J13" i="1"/>
  <c r="AC14" i="1"/>
  <c r="AC15" i="1"/>
  <c r="J16" i="1"/>
  <c r="AC17" i="1"/>
  <c r="AC18" i="1"/>
  <c r="AB20" i="1"/>
  <c r="AA22" i="1"/>
  <c r="AC23" i="1"/>
  <c r="Z26" i="1"/>
  <c r="AE26" i="1" s="1"/>
  <c r="U54" i="3" l="1"/>
  <c r="Z66" i="3"/>
  <c r="S32" i="4"/>
  <c r="P11" i="4"/>
  <c r="P16" i="4" s="1"/>
  <c r="O64" i="4"/>
  <c r="X86" i="5"/>
  <c r="I39" i="5"/>
  <c r="S15" i="5"/>
  <c r="S20" i="5" s="1"/>
  <c r="O83" i="5"/>
  <c r="S34" i="5"/>
  <c r="S39" i="5" s="1"/>
  <c r="P83" i="5"/>
  <c r="P20" i="5"/>
  <c r="O82" i="5"/>
  <c r="S16" i="5"/>
  <c r="S21" i="5" s="1"/>
  <c r="I81" i="5"/>
  <c r="S12" i="5"/>
  <c r="S17" i="5" s="1"/>
  <c r="S8" i="5"/>
  <c r="S18" i="5" s="1"/>
  <c r="O29" i="3"/>
  <c r="U27" i="3"/>
  <c r="U32" i="3" s="1"/>
  <c r="U53" i="3"/>
  <c r="U21" i="3"/>
  <c r="P29" i="3"/>
  <c r="Q29" i="3" s="1"/>
  <c r="R7" i="3"/>
  <c r="Q7" i="3"/>
  <c r="U60" i="3"/>
  <c r="U65" i="3" s="1"/>
  <c r="U24" i="3"/>
  <c r="U29" i="3" s="1"/>
  <c r="Q24" i="3"/>
  <c r="S11" i="4"/>
  <c r="I17" i="4"/>
  <c r="S10" i="4"/>
  <c r="S15" i="4" s="1"/>
  <c r="P26" i="4"/>
  <c r="O31" i="4"/>
  <c r="P28" i="4"/>
  <c r="O33" i="4"/>
  <c r="S64" i="4"/>
  <c r="O65" i="4"/>
  <c r="P55" i="4"/>
  <c r="I29" i="4"/>
  <c r="S56" i="4"/>
  <c r="S61" i="4" s="1"/>
  <c r="I61" i="4"/>
  <c r="P8" i="4"/>
  <c r="O13" i="4"/>
  <c r="O63" i="4"/>
  <c r="P58" i="4"/>
  <c r="S12" i="4"/>
  <c r="S17" i="4" s="1"/>
  <c r="P24" i="4"/>
  <c r="P29" i="4" s="1"/>
  <c r="O29" i="4"/>
  <c r="S16" i="4"/>
  <c r="P70" i="5"/>
  <c r="P80" i="5" s="1"/>
  <c r="O80" i="5"/>
  <c r="P28" i="5"/>
  <c r="P38" i="5" s="1"/>
  <c r="O38" i="5"/>
  <c r="P36" i="5"/>
  <c r="O41" i="5"/>
  <c r="S77" i="5"/>
  <c r="S82" i="5" s="1"/>
  <c r="O37" i="5"/>
  <c r="P37" i="5"/>
  <c r="I17" i="5"/>
  <c r="S32" i="5"/>
  <c r="S37" i="5" s="1"/>
  <c r="S14" i="5"/>
  <c r="S19" i="5" s="1"/>
  <c r="S78" i="5"/>
  <c r="S83" i="5" s="1"/>
  <c r="S76" i="5"/>
  <c r="S81" i="5" s="1"/>
  <c r="P35" i="5"/>
  <c r="O40" i="5"/>
  <c r="P65" i="3"/>
  <c r="R60" i="3"/>
  <c r="Q60" i="3"/>
  <c r="U51" i="3"/>
  <c r="U61" i="3" s="1"/>
  <c r="Q27" i="3"/>
  <c r="P32" i="3"/>
  <c r="R27" i="3"/>
  <c r="R29" i="3"/>
  <c r="O31" i="3"/>
  <c r="P26" i="3"/>
  <c r="P59" i="3"/>
  <c r="O64" i="3"/>
  <c r="O33" i="3"/>
  <c r="P28" i="3"/>
  <c r="R44" i="3"/>
  <c r="Q44" i="3"/>
  <c r="P58" i="3"/>
  <c r="O63" i="3"/>
  <c r="R12" i="3"/>
  <c r="Q12" i="3"/>
  <c r="P61" i="3"/>
  <c r="Q56" i="3"/>
  <c r="R56" i="3"/>
  <c r="AL31" i="1"/>
  <c r="AL9" i="1"/>
  <c r="AE29" i="1"/>
  <c r="AA18" i="1"/>
  <c r="AA12" i="1"/>
  <c r="AK35" i="1"/>
  <c r="Y15" i="1"/>
  <c r="AK28" i="1"/>
  <c r="AL28" i="1" s="1"/>
  <c r="Y3" i="1"/>
  <c r="W22" i="1"/>
  <c r="R24" i="1" s="1"/>
  <c r="AB22" i="1"/>
  <c r="AD25" i="1"/>
  <c r="AE25" i="1" s="1"/>
  <c r="AF25" i="1" s="1"/>
  <c r="AE27" i="1" s="1"/>
  <c r="Y12" i="1"/>
  <c r="AD12" i="1"/>
  <c r="AK26" i="1"/>
  <c r="AE35" i="1"/>
  <c r="AK20" i="1"/>
  <c r="AK15" i="1"/>
  <c r="AC32" i="1"/>
  <c r="AE32" i="1" s="1"/>
  <c r="AK23" i="1"/>
  <c r="Z16" i="1"/>
  <c r="AE16" i="1" s="1"/>
  <c r="U18" i="1"/>
  <c r="W3" i="1"/>
  <c r="AE17" i="1"/>
  <c r="AB34" i="1"/>
  <c r="AE34" i="1" s="1"/>
  <c r="AF34" i="1" s="1"/>
  <c r="AE36" i="1" s="1"/>
  <c r="W34" i="1"/>
  <c r="R36" i="1" s="1"/>
  <c r="Z22" i="1"/>
  <c r="AE22" i="1" s="1"/>
  <c r="AF22" i="1" s="1"/>
  <c r="AE24" i="1" s="1"/>
  <c r="AK25" i="1"/>
  <c r="AK4" i="1"/>
  <c r="AB28" i="1"/>
  <c r="AE28" i="1" s="1"/>
  <c r="AF28" i="1" s="1"/>
  <c r="AE30" i="1" s="1"/>
  <c r="X28" i="1"/>
  <c r="S30" i="1" s="1"/>
  <c r="AC28" i="1"/>
  <c r="Z12" i="1"/>
  <c r="AL37" i="1"/>
  <c r="AE7" i="1"/>
  <c r="AK34" i="1"/>
  <c r="AL34" i="1" s="1"/>
  <c r="AE15" i="1"/>
  <c r="AE9" i="1"/>
  <c r="AF9" i="1" s="1"/>
  <c r="AE11" i="1" s="1"/>
  <c r="AK12" i="1"/>
  <c r="AE4" i="1"/>
  <c r="AE13" i="1"/>
  <c r="AK16" i="1"/>
  <c r="AK3" i="1"/>
  <c r="AE5" i="1"/>
  <c r="AF3" i="1" s="1"/>
  <c r="U6" i="1"/>
  <c r="P8" i="1" s="1"/>
  <c r="Z6" i="1"/>
  <c r="AE6" i="1" s="1"/>
  <c r="AF6" i="1" s="1"/>
  <c r="AE8" i="1" s="1"/>
  <c r="AK32" i="1"/>
  <c r="AK5" i="1"/>
  <c r="AK18" i="1"/>
  <c r="AL18" i="1" s="1"/>
  <c r="U37" i="1"/>
  <c r="P39" i="1" s="1"/>
  <c r="AE18" i="1"/>
  <c r="AF18" i="1" s="1"/>
  <c r="AE14" i="1"/>
  <c r="AE37" i="1"/>
  <c r="AF37" i="1" s="1"/>
  <c r="AE39" i="1" s="1"/>
  <c r="AE31" i="1"/>
  <c r="AE10" i="1"/>
  <c r="AK13" i="1"/>
  <c r="AK22" i="1"/>
  <c r="AL22" i="1" s="1"/>
  <c r="S70" i="5" l="1"/>
  <c r="S80" i="5" s="1"/>
  <c r="S28" i="5"/>
  <c r="S38" i="5" s="1"/>
  <c r="P33" i="4"/>
  <c r="S28" i="4"/>
  <c r="S33" i="4" s="1"/>
  <c r="P31" i="4"/>
  <c r="S26" i="4"/>
  <c r="S31" i="4" s="1"/>
  <c r="S24" i="4"/>
  <c r="S29" i="4" s="1"/>
  <c r="P63" i="4"/>
  <c r="S58" i="4"/>
  <c r="S63" i="4" s="1"/>
  <c r="S55" i="4"/>
  <c r="S65" i="4" s="1"/>
  <c r="P65" i="4"/>
  <c r="P13" i="4"/>
  <c r="S8" i="4"/>
  <c r="S13" i="4" s="1"/>
  <c r="P41" i="5"/>
  <c r="S36" i="5"/>
  <c r="S41" i="5" s="1"/>
  <c r="P40" i="5"/>
  <c r="S35" i="5"/>
  <c r="S40" i="5" s="1"/>
  <c r="R61" i="3"/>
  <c r="Q61" i="3"/>
  <c r="R32" i="3"/>
  <c r="Q32" i="3"/>
  <c r="P33" i="3"/>
  <c r="R28" i="3"/>
  <c r="Q28" i="3"/>
  <c r="U28" i="3"/>
  <c r="U33" i="3" s="1"/>
  <c r="R59" i="3"/>
  <c r="Q59" i="3"/>
  <c r="P64" i="3"/>
  <c r="U59" i="3"/>
  <c r="U64" i="3" s="1"/>
  <c r="P31" i="3"/>
  <c r="R26" i="3"/>
  <c r="Q26" i="3"/>
  <c r="U26" i="3"/>
  <c r="U31" i="3" s="1"/>
  <c r="Q58" i="3"/>
  <c r="P63" i="3"/>
  <c r="R58" i="3"/>
  <c r="U58" i="3"/>
  <c r="U63" i="3" s="1"/>
  <c r="R65" i="3"/>
  <c r="Q65" i="3"/>
  <c r="AL3" i="1"/>
  <c r="AL25" i="1"/>
  <c r="AE12" i="1"/>
  <c r="AF12" i="1" s="1"/>
  <c r="AF31" i="1"/>
  <c r="AE33" i="1" s="1"/>
  <c r="AL15" i="1"/>
  <c r="AF15" i="1"/>
  <c r="AL12" i="1"/>
  <c r="R31" i="3" l="1"/>
  <c r="Q31" i="3"/>
  <c r="R33" i="3"/>
  <c r="Q33" i="3"/>
  <c r="R64" i="3"/>
  <c r="Q64" i="3"/>
  <c r="Q63" i="3"/>
  <c r="R6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</author>
  </authors>
  <commentList>
    <comment ref="C1" authorId="0" shapeId="0" xr:uid="{025A0E16-3AE7-41FA-9FB4-E3D5AB73E34D}">
      <text>
        <r>
          <rPr>
            <b/>
            <sz val="9"/>
            <color indexed="81"/>
            <rFont val="宋体"/>
            <family val="3"/>
            <charset val="134"/>
          </rPr>
          <t>Ju:</t>
        </r>
        <r>
          <rPr>
            <sz val="9"/>
            <color indexed="81"/>
            <rFont val="宋体"/>
            <family val="3"/>
            <charset val="134"/>
          </rPr>
          <t xml:space="preserve">
稀释了3倍，原溶液含量</t>
        </r>
      </text>
    </comment>
    <comment ref="D1" authorId="0" shapeId="0" xr:uid="{8CA04D1D-998A-4A84-A7CD-07ADA5C7BBFF}">
      <text>
        <r>
          <rPr>
            <b/>
            <sz val="9"/>
            <color indexed="81"/>
            <rFont val="宋体"/>
            <family val="3"/>
            <charset val="134"/>
          </rPr>
          <t>Ju:</t>
        </r>
        <r>
          <rPr>
            <sz val="9"/>
            <color indexed="81"/>
            <rFont val="宋体"/>
            <family val="3"/>
            <charset val="134"/>
          </rPr>
          <t xml:space="preserve">
水土比=5:1</t>
        </r>
      </text>
    </comment>
    <comment ref="F1" authorId="0" shapeId="0" xr:uid="{8470C017-7D9B-4BD4-851E-28212FEB05E6}">
      <text>
        <r>
          <rPr>
            <b/>
            <sz val="9"/>
            <color indexed="81"/>
            <rFont val="宋体"/>
            <family val="3"/>
            <charset val="134"/>
          </rPr>
          <t>Ju:</t>
        </r>
        <r>
          <rPr>
            <sz val="9"/>
            <color indexed="81"/>
            <rFont val="宋体"/>
            <family val="3"/>
            <charset val="134"/>
          </rPr>
          <t xml:space="preserve">
稀释了75倍，原溶液含量</t>
        </r>
      </text>
    </comment>
    <comment ref="G1" authorId="0" shapeId="0" xr:uid="{ED987CA0-C5B5-4C94-B2C2-923B382FC039}">
      <text>
        <r>
          <rPr>
            <b/>
            <sz val="9"/>
            <color indexed="81"/>
            <rFont val="宋体"/>
            <family val="3"/>
            <charset val="134"/>
          </rPr>
          <t>Ju:</t>
        </r>
        <r>
          <rPr>
            <sz val="9"/>
            <color indexed="81"/>
            <rFont val="宋体"/>
            <family val="3"/>
            <charset val="134"/>
          </rPr>
          <t xml:space="preserve">
水土比=5:1</t>
        </r>
      </text>
    </comment>
  </commentList>
</comments>
</file>

<file path=xl/sharedStrings.xml><?xml version="1.0" encoding="utf-8"?>
<sst xmlns="http://schemas.openxmlformats.org/spreadsheetml/2006/main" count="813" uniqueCount="175">
  <si>
    <t>MD</t>
    <phoneticPr fontId="3" type="noConversion"/>
  </si>
  <si>
    <t>&gt;5mm</t>
    <phoneticPr fontId="3" type="noConversion"/>
  </si>
  <si>
    <t>2-5mm</t>
    <phoneticPr fontId="3" type="noConversion"/>
  </si>
  <si>
    <t>1-2mm</t>
    <phoneticPr fontId="3" type="noConversion"/>
  </si>
  <si>
    <t>0.5-1mm</t>
    <phoneticPr fontId="3" type="noConversion"/>
  </si>
  <si>
    <t>0.25-0.5mm</t>
    <phoneticPr fontId="3" type="noConversion"/>
  </si>
  <si>
    <t>&lt;0.25mm</t>
    <phoneticPr fontId="3" type="noConversion"/>
  </si>
  <si>
    <t>0.25-1mm</t>
    <phoneticPr fontId="3" type="noConversion"/>
  </si>
  <si>
    <t>MWD</t>
    <phoneticPr fontId="3" type="noConversion"/>
  </si>
  <si>
    <t>D</t>
    <phoneticPr fontId="3" type="noConversion"/>
  </si>
  <si>
    <t>1-1</t>
    <phoneticPr fontId="3" type="noConversion"/>
  </si>
  <si>
    <t>0-10</t>
    <phoneticPr fontId="3" type="noConversion"/>
  </si>
  <si>
    <t>7-1</t>
    <phoneticPr fontId="3" type="noConversion"/>
  </si>
  <si>
    <t>10-1</t>
    <phoneticPr fontId="3" type="noConversion"/>
  </si>
  <si>
    <t>1-2</t>
    <phoneticPr fontId="3" type="noConversion"/>
  </si>
  <si>
    <t>10-20</t>
    <phoneticPr fontId="3" type="noConversion"/>
  </si>
  <si>
    <t>7-2</t>
    <phoneticPr fontId="3" type="noConversion"/>
  </si>
  <si>
    <t>1-3</t>
    <phoneticPr fontId="3" type="noConversion"/>
  </si>
  <si>
    <t>20-30</t>
    <phoneticPr fontId="3" type="noConversion"/>
  </si>
  <si>
    <t>7-3</t>
    <phoneticPr fontId="3" type="noConversion"/>
  </si>
  <si>
    <t>3-1</t>
    <phoneticPr fontId="3" type="noConversion"/>
  </si>
  <si>
    <t>5-1</t>
    <phoneticPr fontId="3" type="noConversion"/>
  </si>
  <si>
    <t>12-1</t>
    <phoneticPr fontId="3" type="noConversion"/>
  </si>
  <si>
    <t>3-2</t>
    <phoneticPr fontId="3" type="noConversion"/>
  </si>
  <si>
    <t>5-2</t>
    <phoneticPr fontId="3" type="noConversion"/>
  </si>
  <si>
    <t>12-2</t>
    <phoneticPr fontId="3" type="noConversion"/>
  </si>
  <si>
    <t>3-3</t>
    <phoneticPr fontId="3" type="noConversion"/>
  </si>
  <si>
    <t>5-3</t>
    <phoneticPr fontId="3" type="noConversion"/>
  </si>
  <si>
    <t>12-3</t>
    <phoneticPr fontId="3" type="noConversion"/>
  </si>
  <si>
    <t>2-1</t>
    <phoneticPr fontId="3" type="noConversion"/>
  </si>
  <si>
    <t>8-1</t>
    <phoneticPr fontId="3" type="noConversion"/>
  </si>
  <si>
    <t>2-2</t>
    <phoneticPr fontId="3" type="noConversion"/>
  </si>
  <si>
    <t>8-2</t>
    <phoneticPr fontId="3" type="noConversion"/>
  </si>
  <si>
    <t>2-3</t>
    <phoneticPr fontId="3" type="noConversion"/>
  </si>
  <si>
    <t>8-3</t>
    <phoneticPr fontId="3" type="noConversion"/>
  </si>
  <si>
    <t>4-1</t>
    <phoneticPr fontId="3" type="noConversion"/>
  </si>
  <si>
    <t>6-1</t>
    <phoneticPr fontId="3" type="noConversion"/>
  </si>
  <si>
    <t>4-2</t>
    <phoneticPr fontId="3" type="noConversion"/>
  </si>
  <si>
    <t>6-2</t>
    <phoneticPr fontId="3" type="noConversion"/>
  </si>
  <si>
    <t>4-3</t>
    <phoneticPr fontId="3" type="noConversion"/>
  </si>
  <si>
    <t>6-3</t>
    <phoneticPr fontId="3" type="noConversion"/>
  </si>
  <si>
    <t>HCO3 %</t>
    <phoneticPr fontId="3" type="noConversion"/>
  </si>
  <si>
    <t xml:space="preserve"> %</t>
    <phoneticPr fontId="3" type="noConversion"/>
  </si>
  <si>
    <t>Cl-  v</t>
    <phoneticPr fontId="3" type="noConversion"/>
  </si>
  <si>
    <t>Ca2+  v</t>
    <phoneticPr fontId="3" type="noConversion"/>
  </si>
  <si>
    <t xml:space="preserve">Mg2+ </t>
    <phoneticPr fontId="3" type="noConversion"/>
  </si>
  <si>
    <t>K+Na</t>
    <phoneticPr fontId="3" type="noConversion"/>
  </si>
  <si>
    <t>V5</t>
    <phoneticPr fontId="3" type="noConversion"/>
  </si>
  <si>
    <t>0-10 cm</t>
    <phoneticPr fontId="3" type="noConversion"/>
  </si>
  <si>
    <t>1-1</t>
  </si>
  <si>
    <t>10-20 cm</t>
    <phoneticPr fontId="3" type="noConversion"/>
  </si>
  <si>
    <t>10-2</t>
    <phoneticPr fontId="3" type="noConversion"/>
  </si>
  <si>
    <t>20-30 cm</t>
    <phoneticPr fontId="3" type="noConversion"/>
  </si>
  <si>
    <t>10-3</t>
    <phoneticPr fontId="3" type="noConversion"/>
  </si>
  <si>
    <t>2-1</t>
  </si>
  <si>
    <t>8-1</t>
  </si>
  <si>
    <t>11-1</t>
  </si>
  <si>
    <t>11-2</t>
    <phoneticPr fontId="3" type="noConversion"/>
  </si>
  <si>
    <t>11-3</t>
    <phoneticPr fontId="3" type="noConversion"/>
  </si>
  <si>
    <t>3-1</t>
  </si>
  <si>
    <t>5-1</t>
  </si>
  <si>
    <t>12-1</t>
  </si>
  <si>
    <t>4-1</t>
  </si>
  <si>
    <t>6-1</t>
  </si>
  <si>
    <t>9-1</t>
  </si>
  <si>
    <t>9-2</t>
    <phoneticPr fontId="3" type="noConversion"/>
  </si>
  <si>
    <t>9-3</t>
    <phoneticPr fontId="3" type="noConversion"/>
  </si>
  <si>
    <r>
      <rPr>
        <sz val="12"/>
        <rFont val="微软雅黑"/>
        <family val="2"/>
        <charset val="134"/>
      </rPr>
      <t>处理名称</t>
    </r>
    <phoneticPr fontId="3" type="noConversion"/>
  </si>
  <si>
    <r>
      <rPr>
        <sz val="12"/>
        <rFont val="微软雅黑"/>
        <family val="2"/>
        <charset val="134"/>
      </rPr>
      <t>土层</t>
    </r>
    <phoneticPr fontId="3" type="noConversion"/>
  </si>
  <si>
    <r>
      <rPr>
        <sz val="12"/>
        <rFont val="微软雅黑"/>
        <family val="2"/>
        <charset val="134"/>
      </rPr>
      <t>样品编号</t>
    </r>
    <phoneticPr fontId="3" type="noConversion"/>
  </si>
  <si>
    <r>
      <rPr>
        <sz val="12"/>
        <rFont val="微软雅黑"/>
        <family val="2"/>
        <charset val="134"/>
      </rPr>
      <t>处理</t>
    </r>
    <phoneticPr fontId="3" type="noConversion"/>
  </si>
  <si>
    <r>
      <rPr>
        <sz val="12"/>
        <rFont val="微软雅黑"/>
        <family val="2"/>
        <charset val="134"/>
      </rPr>
      <t>钙镁合量</t>
    </r>
    <phoneticPr fontId="3" type="noConversion"/>
  </si>
  <si>
    <r>
      <rPr>
        <sz val="12"/>
        <rFont val="微软雅黑"/>
        <family val="2"/>
        <charset val="134"/>
      </rPr>
      <t>空白</t>
    </r>
    <phoneticPr fontId="3" type="noConversion"/>
  </si>
  <si>
    <r>
      <rPr>
        <sz val="12"/>
        <rFont val="微软雅黑"/>
        <family val="2"/>
        <charset val="134"/>
      </rPr>
      <t>含盐量</t>
    </r>
    <r>
      <rPr>
        <sz val="12"/>
        <rFont val="Calibri"/>
        <family val="2"/>
      </rPr>
      <t>(%)</t>
    </r>
    <phoneticPr fontId="3" type="noConversion"/>
  </si>
  <si>
    <r>
      <rPr>
        <sz val="10"/>
        <rFont val="微软雅黑"/>
        <family val="2"/>
        <charset val="134"/>
      </rPr>
      <t>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覆膜</t>
    </r>
    <phoneticPr fontId="3" type="noConversion"/>
  </si>
  <si>
    <r>
      <rPr>
        <sz val="10"/>
        <rFont val="微软雅黑"/>
        <family val="2"/>
        <charset val="134"/>
      </rPr>
      <t>不灌溉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覆膜</t>
    </r>
    <phoneticPr fontId="3" type="noConversion"/>
  </si>
  <si>
    <r>
      <rPr>
        <sz val="10"/>
        <rFont val="微软雅黑"/>
        <family val="2"/>
        <charset val="134"/>
      </rPr>
      <t>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不覆膜</t>
    </r>
    <phoneticPr fontId="3" type="noConversion"/>
  </si>
  <si>
    <r>
      <rPr>
        <sz val="10"/>
        <rFont val="微软雅黑"/>
        <family val="2"/>
        <charset val="134"/>
      </rPr>
      <t>不灌溉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不覆膜</t>
    </r>
    <phoneticPr fontId="3" type="noConversion"/>
  </si>
  <si>
    <r>
      <t>SO</t>
    </r>
    <r>
      <rPr>
        <vertAlign val="subscript"/>
        <sz val="12"/>
        <rFont val="Calibri"/>
        <family val="2"/>
      </rPr>
      <t>4</t>
    </r>
    <r>
      <rPr>
        <sz val="12"/>
        <rFont val="Calibri"/>
        <family val="2"/>
      </rPr>
      <t>2-</t>
    </r>
    <phoneticPr fontId="3" type="noConversion"/>
  </si>
  <si>
    <t>HCO3 %</t>
    <phoneticPr fontId="12" type="noConversion"/>
  </si>
  <si>
    <t xml:space="preserve"> %</t>
    <phoneticPr fontId="12" type="noConversion"/>
  </si>
  <si>
    <t>Cl-  v</t>
    <phoneticPr fontId="12" type="noConversion"/>
  </si>
  <si>
    <t>Ca2+  v</t>
    <phoneticPr fontId="12" type="noConversion"/>
  </si>
  <si>
    <t xml:space="preserve">Mg2+ </t>
    <phoneticPr fontId="12" type="noConversion"/>
  </si>
  <si>
    <t>K+Na</t>
    <phoneticPr fontId="12" type="noConversion"/>
  </si>
  <si>
    <t>K_g/kg</t>
    <phoneticPr fontId="12" type="noConversion"/>
  </si>
  <si>
    <t>Na_g/kg</t>
    <phoneticPr fontId="12" type="noConversion"/>
  </si>
  <si>
    <t>V5</t>
    <phoneticPr fontId="12" type="noConversion"/>
  </si>
  <si>
    <t>1-1</t>
    <phoneticPr fontId="12" type="noConversion"/>
  </si>
  <si>
    <t>&lt;0.25</t>
    <phoneticPr fontId="12" type="noConversion"/>
  </si>
  <si>
    <t>0.25-1</t>
  </si>
  <si>
    <t>1-2</t>
    <phoneticPr fontId="12" type="noConversion"/>
  </si>
  <si>
    <t>2-5</t>
    <phoneticPr fontId="12" type="noConversion"/>
  </si>
  <si>
    <t>5-8</t>
    <phoneticPr fontId="12" type="noConversion"/>
  </si>
  <si>
    <t>7-1</t>
    <phoneticPr fontId="12" type="noConversion"/>
  </si>
  <si>
    <t>10-1</t>
    <phoneticPr fontId="12" type="noConversion"/>
  </si>
  <si>
    <t>2-1</t>
    <phoneticPr fontId="12" type="noConversion"/>
  </si>
  <si>
    <t>8-1</t>
    <phoneticPr fontId="12" type="noConversion"/>
  </si>
  <si>
    <t>3-1</t>
    <phoneticPr fontId="12" type="noConversion"/>
  </si>
  <si>
    <t>5-1</t>
    <phoneticPr fontId="12" type="noConversion"/>
  </si>
  <si>
    <t>12-1</t>
    <phoneticPr fontId="12" type="noConversion"/>
  </si>
  <si>
    <t>4-1</t>
    <phoneticPr fontId="12" type="noConversion"/>
  </si>
  <si>
    <t>0.25-1</t>
    <phoneticPr fontId="12" type="noConversion"/>
  </si>
  <si>
    <t>6-1</t>
    <phoneticPr fontId="12" type="noConversion"/>
  </si>
  <si>
    <t>7-2</t>
    <phoneticPr fontId="12" type="noConversion"/>
  </si>
  <si>
    <t>2-2</t>
    <phoneticPr fontId="12" type="noConversion"/>
  </si>
  <si>
    <t>8-2</t>
    <phoneticPr fontId="12" type="noConversion"/>
  </si>
  <si>
    <t>3-2</t>
    <phoneticPr fontId="12" type="noConversion"/>
  </si>
  <si>
    <t>5-2</t>
    <phoneticPr fontId="12" type="noConversion"/>
  </si>
  <si>
    <t>12-2</t>
    <phoneticPr fontId="12" type="noConversion"/>
  </si>
  <si>
    <t>4-2</t>
    <phoneticPr fontId="12" type="noConversion"/>
  </si>
  <si>
    <t>6-2</t>
    <phoneticPr fontId="12" type="noConversion"/>
  </si>
  <si>
    <t>1-3</t>
    <phoneticPr fontId="12" type="noConversion"/>
  </si>
  <si>
    <t>0.25-0.5</t>
    <phoneticPr fontId="12" type="noConversion"/>
  </si>
  <si>
    <t>0.5-1</t>
    <phoneticPr fontId="12" type="noConversion"/>
  </si>
  <si>
    <t>7-3</t>
    <phoneticPr fontId="12" type="noConversion"/>
  </si>
  <si>
    <t>2-3</t>
    <phoneticPr fontId="12" type="noConversion"/>
  </si>
  <si>
    <t>8-3</t>
    <phoneticPr fontId="12" type="noConversion"/>
  </si>
  <si>
    <t>3-3</t>
    <phoneticPr fontId="12" type="noConversion"/>
  </si>
  <si>
    <t>5-3</t>
    <phoneticPr fontId="12" type="noConversion"/>
  </si>
  <si>
    <t>12-3</t>
    <phoneticPr fontId="12" type="noConversion"/>
  </si>
  <si>
    <t>4-3</t>
    <phoneticPr fontId="12" type="noConversion"/>
  </si>
  <si>
    <t>6-3</t>
    <phoneticPr fontId="12" type="noConversion"/>
  </si>
  <si>
    <r>
      <rPr>
        <b/>
        <sz val="12"/>
        <rFont val="宋体"/>
        <family val="3"/>
        <charset val="134"/>
      </rPr>
      <t>原子吸收</t>
    </r>
    <phoneticPr fontId="12" type="noConversion"/>
  </si>
  <si>
    <r>
      <rPr>
        <sz val="12"/>
        <rFont val="微软雅黑"/>
        <family val="2"/>
        <charset val="134"/>
      </rPr>
      <t>样品编号</t>
    </r>
    <phoneticPr fontId="12" type="noConversion"/>
  </si>
  <si>
    <r>
      <rPr>
        <sz val="12"/>
        <rFont val="微软雅黑"/>
        <family val="2"/>
        <charset val="134"/>
      </rPr>
      <t>处理</t>
    </r>
    <phoneticPr fontId="12" type="noConversion"/>
  </si>
  <si>
    <r>
      <rPr>
        <sz val="12"/>
        <rFont val="微软雅黑"/>
        <family val="2"/>
        <charset val="134"/>
      </rPr>
      <t>土壤级别（</t>
    </r>
    <r>
      <rPr>
        <sz val="12"/>
        <rFont val="Calibri"/>
        <family val="2"/>
      </rPr>
      <t>cm</t>
    </r>
    <r>
      <rPr>
        <sz val="12"/>
        <rFont val="微软雅黑"/>
        <family val="2"/>
        <charset val="134"/>
      </rPr>
      <t>）</t>
    </r>
    <phoneticPr fontId="12" type="noConversion"/>
  </si>
  <si>
    <r>
      <t>SO</t>
    </r>
    <r>
      <rPr>
        <b/>
        <vertAlign val="subscript"/>
        <sz val="12"/>
        <rFont val="Calibri"/>
        <family val="2"/>
      </rPr>
      <t>4</t>
    </r>
    <r>
      <rPr>
        <b/>
        <sz val="12"/>
        <rFont val="Calibri"/>
        <family val="2"/>
      </rPr>
      <t>2-</t>
    </r>
    <phoneticPr fontId="12" type="noConversion"/>
  </si>
  <si>
    <r>
      <rPr>
        <sz val="12"/>
        <rFont val="微软雅黑"/>
        <family val="2"/>
        <charset val="134"/>
      </rPr>
      <t>钙镁合量</t>
    </r>
    <phoneticPr fontId="12" type="noConversion"/>
  </si>
  <si>
    <r>
      <rPr>
        <sz val="12"/>
        <rFont val="微软雅黑"/>
        <family val="2"/>
        <charset val="134"/>
      </rPr>
      <t>空白</t>
    </r>
    <phoneticPr fontId="12" type="noConversion"/>
  </si>
  <si>
    <r>
      <rPr>
        <sz val="12"/>
        <rFont val="微软雅黑"/>
        <family val="2"/>
        <charset val="134"/>
      </rPr>
      <t>含盐量</t>
    </r>
    <r>
      <rPr>
        <sz val="12"/>
        <rFont val="Calibri"/>
        <family val="2"/>
      </rPr>
      <t>(%)</t>
    </r>
    <phoneticPr fontId="12" type="noConversion"/>
  </si>
  <si>
    <r>
      <rPr>
        <sz val="12"/>
        <rFont val="微软雅黑"/>
        <family val="2"/>
        <charset val="134"/>
      </rPr>
      <t>平均</t>
    </r>
    <r>
      <rPr>
        <sz val="12"/>
        <rFont val="Calibri"/>
        <family val="2"/>
      </rPr>
      <t>K_g/kg</t>
    </r>
    <phoneticPr fontId="12" type="noConversion"/>
  </si>
  <si>
    <r>
      <rPr>
        <sz val="12"/>
        <rFont val="微软雅黑"/>
        <family val="2"/>
        <charset val="134"/>
      </rPr>
      <t>平均</t>
    </r>
    <r>
      <rPr>
        <sz val="12"/>
        <rFont val="Calibri"/>
        <family val="2"/>
      </rPr>
      <t>Na_g/kg</t>
    </r>
    <phoneticPr fontId="12" type="noConversion"/>
  </si>
  <si>
    <r>
      <rPr>
        <sz val="10"/>
        <rFont val="微软雅黑"/>
        <family val="2"/>
        <charset val="134"/>
      </rPr>
      <t>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覆膜</t>
    </r>
    <phoneticPr fontId="12" type="noConversion"/>
  </si>
  <si>
    <r>
      <rPr>
        <sz val="10"/>
        <rFont val="微软雅黑"/>
        <family val="2"/>
        <charset val="134"/>
      </rPr>
      <t>不灌溉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覆膜</t>
    </r>
    <phoneticPr fontId="12" type="noConversion"/>
  </si>
  <si>
    <r>
      <rPr>
        <sz val="10"/>
        <rFont val="微软雅黑"/>
        <family val="2"/>
        <charset val="134"/>
      </rPr>
      <t>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不覆膜</t>
    </r>
    <phoneticPr fontId="12" type="noConversion"/>
  </si>
  <si>
    <r>
      <rPr>
        <sz val="10"/>
        <rFont val="微软雅黑"/>
        <family val="2"/>
        <charset val="134"/>
      </rPr>
      <t>不灌溉</t>
    </r>
    <r>
      <rPr>
        <sz val="10"/>
        <rFont val="Calibri"/>
        <family val="2"/>
      </rPr>
      <t>+</t>
    </r>
    <r>
      <rPr>
        <sz val="10"/>
        <rFont val="微软雅黑"/>
        <family val="2"/>
        <charset val="134"/>
      </rPr>
      <t>不覆膜</t>
    </r>
    <phoneticPr fontId="12" type="noConversion"/>
  </si>
  <si>
    <r>
      <rPr>
        <b/>
        <sz val="12"/>
        <rFont val="宋体"/>
        <family val="3"/>
        <charset val="134"/>
      </rPr>
      <t>根据原子吸收测定</t>
    </r>
    <r>
      <rPr>
        <b/>
        <sz val="12"/>
        <rFont val="Calibri"/>
        <family val="2"/>
      </rPr>
      <t>K-Na</t>
    </r>
    <r>
      <rPr>
        <b/>
        <sz val="12"/>
        <rFont val="宋体"/>
        <family val="3"/>
        <charset val="134"/>
      </rPr>
      <t>比例计算得到的滴定数值</t>
    </r>
    <phoneticPr fontId="12" type="noConversion"/>
  </si>
  <si>
    <t>瓶号</t>
    <phoneticPr fontId="12" type="noConversion"/>
  </si>
  <si>
    <t>K浓度</t>
    <phoneticPr fontId="12" type="noConversion"/>
  </si>
  <si>
    <t>溶液K浓度mg/L</t>
    <phoneticPr fontId="12" type="noConversion"/>
  </si>
  <si>
    <t>土样K含量g/kg</t>
    <phoneticPr fontId="12" type="noConversion"/>
  </si>
  <si>
    <t>Na浓度</t>
    <phoneticPr fontId="12" type="noConversion"/>
  </si>
  <si>
    <t>Na浓度mg/L</t>
    <phoneticPr fontId="12" type="noConversion"/>
  </si>
  <si>
    <t>土样Na含量g/kg</t>
    <phoneticPr fontId="12" type="noConversion"/>
  </si>
  <si>
    <t>平均K</t>
    <phoneticPr fontId="12" type="noConversion"/>
  </si>
  <si>
    <t>平均Na</t>
    <phoneticPr fontId="12" type="noConversion"/>
  </si>
  <si>
    <t>CK</t>
    <phoneticPr fontId="12" type="noConversion"/>
  </si>
  <si>
    <t>CK-2</t>
  </si>
  <si>
    <t>10-2</t>
    <phoneticPr fontId="12" type="noConversion"/>
  </si>
  <si>
    <t>20-1</t>
    <phoneticPr fontId="12" type="noConversion"/>
  </si>
  <si>
    <t>20-2</t>
    <phoneticPr fontId="12" type="noConversion"/>
  </si>
  <si>
    <t>30-1</t>
    <phoneticPr fontId="12" type="noConversion"/>
  </si>
  <si>
    <t>30-2</t>
    <phoneticPr fontId="12" type="noConversion"/>
  </si>
  <si>
    <t>40-1</t>
    <phoneticPr fontId="12" type="noConversion"/>
  </si>
  <si>
    <t>40-2</t>
    <phoneticPr fontId="12" type="noConversion"/>
  </si>
  <si>
    <t>50-1</t>
    <phoneticPr fontId="12" type="noConversion"/>
  </si>
  <si>
    <t>50-2</t>
    <phoneticPr fontId="12" type="noConversion"/>
  </si>
  <si>
    <t>60-1</t>
    <phoneticPr fontId="12" type="noConversion"/>
  </si>
  <si>
    <t>60-2</t>
    <phoneticPr fontId="12" type="noConversion"/>
  </si>
  <si>
    <t>70-1</t>
    <phoneticPr fontId="12" type="noConversion"/>
  </si>
  <si>
    <t>70-2</t>
    <phoneticPr fontId="12" type="noConversion"/>
  </si>
  <si>
    <t>80-1</t>
    <phoneticPr fontId="12" type="noConversion"/>
  </si>
  <si>
    <t>80-2</t>
    <phoneticPr fontId="12" type="noConversion"/>
  </si>
  <si>
    <t>90-1</t>
    <phoneticPr fontId="12" type="noConversion"/>
  </si>
  <si>
    <t>90-2</t>
    <phoneticPr fontId="12" type="noConversion"/>
  </si>
  <si>
    <r>
      <rPr>
        <sz val="12"/>
        <rFont val="微软雅黑"/>
        <family val="2"/>
        <charset val="134"/>
      </rPr>
      <t>各粒级重量</t>
    </r>
    <phoneticPr fontId="3" type="noConversion"/>
  </si>
  <si>
    <r>
      <rPr>
        <sz val="12"/>
        <rFont val="微软雅黑"/>
        <family val="2"/>
        <charset val="134"/>
      </rPr>
      <t>各粒级比例</t>
    </r>
    <phoneticPr fontId="3" type="noConversion"/>
  </si>
  <si>
    <r>
      <rPr>
        <sz val="12"/>
        <rFont val="微软雅黑"/>
        <family val="2"/>
        <charset val="134"/>
      </rPr>
      <t>平均比例</t>
    </r>
    <phoneticPr fontId="3" type="noConversion"/>
  </si>
  <si>
    <r>
      <rPr>
        <sz val="12"/>
        <rFont val="微软雅黑"/>
        <family val="2"/>
        <charset val="134"/>
      </rPr>
      <t>平均直径</t>
    </r>
    <phoneticPr fontId="3" type="noConversion"/>
  </si>
  <si>
    <r>
      <rPr>
        <sz val="12"/>
        <rFont val="微软雅黑"/>
        <family val="2"/>
        <charset val="134"/>
      </rPr>
      <t>平均重量直径</t>
    </r>
    <phoneticPr fontId="3" type="noConversion"/>
  </si>
  <si>
    <r>
      <rPr>
        <sz val="12"/>
        <rFont val="微软雅黑"/>
        <family val="2"/>
        <charset val="134"/>
      </rPr>
      <t>分形维数</t>
    </r>
    <phoneticPr fontId="3" type="noConversion"/>
  </si>
  <si>
    <r>
      <rPr>
        <sz val="12"/>
        <rFont val="微软雅黑"/>
        <family val="2"/>
        <charset val="134"/>
      </rPr>
      <t>总重</t>
    </r>
    <phoneticPr fontId="3" type="noConversion"/>
  </si>
  <si>
    <r>
      <rPr>
        <sz val="12"/>
        <rFont val="微软雅黑"/>
        <family val="2"/>
        <charset val="134"/>
      </rPr>
      <t>平均</t>
    </r>
    <r>
      <rPr>
        <sz val="12"/>
        <rFont val="Calibri"/>
        <family val="2"/>
      </rPr>
      <t>MWD</t>
    </r>
    <phoneticPr fontId="3" type="noConversion"/>
  </si>
  <si>
    <r>
      <rPr>
        <sz val="12"/>
        <rFont val="微软雅黑"/>
        <family val="2"/>
        <charset val="134"/>
      </rPr>
      <t>平均分形维数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</si>
</sst>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0_ "/>
    <numFmt numFmtId="178" formatCode="0.000_ "/>
  </numFmts>
  <fonts count="15" x14ac:knownFonts="1">
    <font>
      <sz val="11"/>
      <color theme="1"/>
      <name val="等线"/>
      <family val="2"/>
      <charset val="134"/>
      <scheme val="minor"/>
    </font>
    <font>
      <sz val="12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0"/>
      <name val="微软雅黑"/>
      <family val="2"/>
      <charset val="134"/>
    </font>
    <font>
      <sz val="12"/>
      <name val="Calibri"/>
      <family val="2"/>
    </font>
    <font>
      <b/>
      <vertAlign val="subscript"/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vertAlign val="subscript"/>
      <sz val="12"/>
      <name val="Calibri"/>
      <family val="2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>
      <alignment vertical="center"/>
    </xf>
    <xf numFmtId="0" fontId="8" fillId="0" borderId="0" xfId="0" applyFont="1" applyFill="1" applyAlignment="1">
      <alignment horizontal="center" vertical="center"/>
    </xf>
    <xf numFmtId="49" fontId="9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5" fillId="0" borderId="0" xfId="0" applyFont="1" applyFill="1">
      <alignment vertical="center"/>
    </xf>
    <xf numFmtId="178" fontId="5" fillId="0" borderId="0" xfId="0" applyNumberFormat="1" applyFont="1" applyFill="1">
      <alignment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>
      <alignment vertical="center"/>
    </xf>
    <xf numFmtId="49" fontId="9" fillId="0" borderId="5" xfId="0" applyNumberFormat="1" applyFont="1" applyFill="1" applyBorder="1">
      <alignment vertical="center"/>
    </xf>
    <xf numFmtId="0" fontId="5" fillId="0" borderId="5" xfId="0" applyFont="1" applyFill="1" applyBorder="1">
      <alignment vertical="center"/>
    </xf>
    <xf numFmtId="176" fontId="5" fillId="0" borderId="5" xfId="0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176" fontId="0" fillId="0" borderId="0" xfId="0" applyNumberForma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>
      <alignment vertical="center"/>
    </xf>
    <xf numFmtId="176" fontId="9" fillId="0" borderId="0" xfId="0" applyNumberFormat="1" applyFont="1" applyFill="1">
      <alignment vertical="center"/>
    </xf>
    <xf numFmtId="176" fontId="9" fillId="0" borderId="8" xfId="0" applyNumberFormat="1" applyFont="1" applyFill="1" applyBorder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3DBF-BD81-4A6F-9069-563AF727E065}">
  <dimension ref="A1:AL75"/>
  <sheetViews>
    <sheetView tabSelected="1" zoomScale="86" zoomScaleNormal="86" workbookViewId="0">
      <selection activeCell="F7" sqref="F7"/>
    </sheetView>
  </sheetViews>
  <sheetFormatPr defaultRowHeight="15.75" x14ac:dyDescent="0.4"/>
  <cols>
    <col min="1" max="1" width="10.1328125" style="3" customWidth="1"/>
    <col min="2" max="2" width="13.86328125" style="3" customWidth="1"/>
    <col min="3" max="3" width="10.53125" style="21" customWidth="1"/>
    <col min="4" max="9" width="12.1328125" style="3" customWidth="1"/>
    <col min="10" max="10" width="12.1328125" style="21" customWidth="1"/>
    <col min="11" max="19" width="12.1328125" style="3" customWidth="1"/>
    <col min="20" max="20" width="12.1328125" style="21" customWidth="1"/>
    <col min="21" max="21" width="12.9296875" style="31" customWidth="1"/>
    <col min="22" max="24" width="12.9296875" style="10" customWidth="1"/>
    <col min="25" max="25" width="12.9296875" style="28" customWidth="1"/>
    <col min="26" max="29" width="9.06640625" style="10"/>
    <col min="30" max="30" width="9.06640625" style="28"/>
    <col min="31" max="31" width="9.06640625" style="10"/>
    <col min="32" max="32" width="11.86328125" style="33" customWidth="1"/>
    <col min="33" max="37" width="9.06640625" style="10"/>
    <col min="38" max="38" width="9.06640625" style="28"/>
    <col min="39" max="256" width="9.06640625" style="10"/>
    <col min="257" max="257" width="10.1328125" style="10" customWidth="1"/>
    <col min="258" max="258" width="13.86328125" style="10" customWidth="1"/>
    <col min="259" max="259" width="10.53125" style="10" customWidth="1"/>
    <col min="260" max="276" width="12.1328125" style="10" customWidth="1"/>
    <col min="277" max="281" width="12.9296875" style="10" customWidth="1"/>
    <col min="282" max="287" width="9.06640625" style="10"/>
    <col min="288" max="288" width="11.86328125" style="10" customWidth="1"/>
    <col min="289" max="512" width="9.06640625" style="10"/>
    <col min="513" max="513" width="10.1328125" style="10" customWidth="1"/>
    <col min="514" max="514" width="13.86328125" style="10" customWidth="1"/>
    <col min="515" max="515" width="10.53125" style="10" customWidth="1"/>
    <col min="516" max="532" width="12.1328125" style="10" customWidth="1"/>
    <col min="533" max="537" width="12.9296875" style="10" customWidth="1"/>
    <col min="538" max="543" width="9.06640625" style="10"/>
    <col min="544" max="544" width="11.86328125" style="10" customWidth="1"/>
    <col min="545" max="768" width="9.06640625" style="10"/>
    <col min="769" max="769" width="10.1328125" style="10" customWidth="1"/>
    <col min="770" max="770" width="13.86328125" style="10" customWidth="1"/>
    <col min="771" max="771" width="10.53125" style="10" customWidth="1"/>
    <col min="772" max="788" width="12.1328125" style="10" customWidth="1"/>
    <col min="789" max="793" width="12.9296875" style="10" customWidth="1"/>
    <col min="794" max="799" width="9.06640625" style="10"/>
    <col min="800" max="800" width="11.86328125" style="10" customWidth="1"/>
    <col min="801" max="1024" width="9.06640625" style="10"/>
    <col min="1025" max="1025" width="10.1328125" style="10" customWidth="1"/>
    <col min="1026" max="1026" width="13.86328125" style="10" customWidth="1"/>
    <col min="1027" max="1027" width="10.53125" style="10" customWidth="1"/>
    <col min="1028" max="1044" width="12.1328125" style="10" customWidth="1"/>
    <col min="1045" max="1049" width="12.9296875" style="10" customWidth="1"/>
    <col min="1050" max="1055" width="9.06640625" style="10"/>
    <col min="1056" max="1056" width="11.86328125" style="10" customWidth="1"/>
    <col min="1057" max="1280" width="9.06640625" style="10"/>
    <col min="1281" max="1281" width="10.1328125" style="10" customWidth="1"/>
    <col min="1282" max="1282" width="13.86328125" style="10" customWidth="1"/>
    <col min="1283" max="1283" width="10.53125" style="10" customWidth="1"/>
    <col min="1284" max="1300" width="12.1328125" style="10" customWidth="1"/>
    <col min="1301" max="1305" width="12.9296875" style="10" customWidth="1"/>
    <col min="1306" max="1311" width="9.06640625" style="10"/>
    <col min="1312" max="1312" width="11.86328125" style="10" customWidth="1"/>
    <col min="1313" max="1536" width="9.06640625" style="10"/>
    <col min="1537" max="1537" width="10.1328125" style="10" customWidth="1"/>
    <col min="1538" max="1538" width="13.86328125" style="10" customWidth="1"/>
    <col min="1539" max="1539" width="10.53125" style="10" customWidth="1"/>
    <col min="1540" max="1556" width="12.1328125" style="10" customWidth="1"/>
    <col min="1557" max="1561" width="12.9296875" style="10" customWidth="1"/>
    <col min="1562" max="1567" width="9.06640625" style="10"/>
    <col min="1568" max="1568" width="11.86328125" style="10" customWidth="1"/>
    <col min="1569" max="1792" width="9.06640625" style="10"/>
    <col min="1793" max="1793" width="10.1328125" style="10" customWidth="1"/>
    <col min="1794" max="1794" width="13.86328125" style="10" customWidth="1"/>
    <col min="1795" max="1795" width="10.53125" style="10" customWidth="1"/>
    <col min="1796" max="1812" width="12.1328125" style="10" customWidth="1"/>
    <col min="1813" max="1817" width="12.9296875" style="10" customWidth="1"/>
    <col min="1818" max="1823" width="9.06640625" style="10"/>
    <col min="1824" max="1824" width="11.86328125" style="10" customWidth="1"/>
    <col min="1825" max="2048" width="9.06640625" style="10"/>
    <col min="2049" max="2049" width="10.1328125" style="10" customWidth="1"/>
    <col min="2050" max="2050" width="13.86328125" style="10" customWidth="1"/>
    <col min="2051" max="2051" width="10.53125" style="10" customWidth="1"/>
    <col min="2052" max="2068" width="12.1328125" style="10" customWidth="1"/>
    <col min="2069" max="2073" width="12.9296875" style="10" customWidth="1"/>
    <col min="2074" max="2079" width="9.06640625" style="10"/>
    <col min="2080" max="2080" width="11.86328125" style="10" customWidth="1"/>
    <col min="2081" max="2304" width="9.06640625" style="10"/>
    <col min="2305" max="2305" width="10.1328125" style="10" customWidth="1"/>
    <col min="2306" max="2306" width="13.86328125" style="10" customWidth="1"/>
    <col min="2307" max="2307" width="10.53125" style="10" customWidth="1"/>
    <col min="2308" max="2324" width="12.1328125" style="10" customWidth="1"/>
    <col min="2325" max="2329" width="12.9296875" style="10" customWidth="1"/>
    <col min="2330" max="2335" width="9.06640625" style="10"/>
    <col min="2336" max="2336" width="11.86328125" style="10" customWidth="1"/>
    <col min="2337" max="2560" width="9.06640625" style="10"/>
    <col min="2561" max="2561" width="10.1328125" style="10" customWidth="1"/>
    <col min="2562" max="2562" width="13.86328125" style="10" customWidth="1"/>
    <col min="2563" max="2563" width="10.53125" style="10" customWidth="1"/>
    <col min="2564" max="2580" width="12.1328125" style="10" customWidth="1"/>
    <col min="2581" max="2585" width="12.9296875" style="10" customWidth="1"/>
    <col min="2586" max="2591" width="9.06640625" style="10"/>
    <col min="2592" max="2592" width="11.86328125" style="10" customWidth="1"/>
    <col min="2593" max="2816" width="9.06640625" style="10"/>
    <col min="2817" max="2817" width="10.1328125" style="10" customWidth="1"/>
    <col min="2818" max="2818" width="13.86328125" style="10" customWidth="1"/>
    <col min="2819" max="2819" width="10.53125" style="10" customWidth="1"/>
    <col min="2820" max="2836" width="12.1328125" style="10" customWidth="1"/>
    <col min="2837" max="2841" width="12.9296875" style="10" customWidth="1"/>
    <col min="2842" max="2847" width="9.06640625" style="10"/>
    <col min="2848" max="2848" width="11.86328125" style="10" customWidth="1"/>
    <col min="2849" max="3072" width="9.06640625" style="10"/>
    <col min="3073" max="3073" width="10.1328125" style="10" customWidth="1"/>
    <col min="3074" max="3074" width="13.86328125" style="10" customWidth="1"/>
    <col min="3075" max="3075" width="10.53125" style="10" customWidth="1"/>
    <col min="3076" max="3092" width="12.1328125" style="10" customWidth="1"/>
    <col min="3093" max="3097" width="12.9296875" style="10" customWidth="1"/>
    <col min="3098" max="3103" width="9.06640625" style="10"/>
    <col min="3104" max="3104" width="11.86328125" style="10" customWidth="1"/>
    <col min="3105" max="3328" width="9.06640625" style="10"/>
    <col min="3329" max="3329" width="10.1328125" style="10" customWidth="1"/>
    <col min="3330" max="3330" width="13.86328125" style="10" customWidth="1"/>
    <col min="3331" max="3331" width="10.53125" style="10" customWidth="1"/>
    <col min="3332" max="3348" width="12.1328125" style="10" customWidth="1"/>
    <col min="3349" max="3353" width="12.9296875" style="10" customWidth="1"/>
    <col min="3354" max="3359" width="9.06640625" style="10"/>
    <col min="3360" max="3360" width="11.86328125" style="10" customWidth="1"/>
    <col min="3361" max="3584" width="9.06640625" style="10"/>
    <col min="3585" max="3585" width="10.1328125" style="10" customWidth="1"/>
    <col min="3586" max="3586" width="13.86328125" style="10" customWidth="1"/>
    <col min="3587" max="3587" width="10.53125" style="10" customWidth="1"/>
    <col min="3588" max="3604" width="12.1328125" style="10" customWidth="1"/>
    <col min="3605" max="3609" width="12.9296875" style="10" customWidth="1"/>
    <col min="3610" max="3615" width="9.06640625" style="10"/>
    <col min="3616" max="3616" width="11.86328125" style="10" customWidth="1"/>
    <col min="3617" max="3840" width="9.06640625" style="10"/>
    <col min="3841" max="3841" width="10.1328125" style="10" customWidth="1"/>
    <col min="3842" max="3842" width="13.86328125" style="10" customWidth="1"/>
    <col min="3843" max="3843" width="10.53125" style="10" customWidth="1"/>
    <col min="3844" max="3860" width="12.1328125" style="10" customWidth="1"/>
    <col min="3861" max="3865" width="12.9296875" style="10" customWidth="1"/>
    <col min="3866" max="3871" width="9.06640625" style="10"/>
    <col min="3872" max="3872" width="11.86328125" style="10" customWidth="1"/>
    <col min="3873" max="4096" width="9.06640625" style="10"/>
    <col min="4097" max="4097" width="10.1328125" style="10" customWidth="1"/>
    <col min="4098" max="4098" width="13.86328125" style="10" customWidth="1"/>
    <col min="4099" max="4099" width="10.53125" style="10" customWidth="1"/>
    <col min="4100" max="4116" width="12.1328125" style="10" customWidth="1"/>
    <col min="4117" max="4121" width="12.9296875" style="10" customWidth="1"/>
    <col min="4122" max="4127" width="9.06640625" style="10"/>
    <col min="4128" max="4128" width="11.86328125" style="10" customWidth="1"/>
    <col min="4129" max="4352" width="9.06640625" style="10"/>
    <col min="4353" max="4353" width="10.1328125" style="10" customWidth="1"/>
    <col min="4354" max="4354" width="13.86328125" style="10" customWidth="1"/>
    <col min="4355" max="4355" width="10.53125" style="10" customWidth="1"/>
    <col min="4356" max="4372" width="12.1328125" style="10" customWidth="1"/>
    <col min="4373" max="4377" width="12.9296875" style="10" customWidth="1"/>
    <col min="4378" max="4383" width="9.06640625" style="10"/>
    <col min="4384" max="4384" width="11.86328125" style="10" customWidth="1"/>
    <col min="4385" max="4608" width="9.06640625" style="10"/>
    <col min="4609" max="4609" width="10.1328125" style="10" customWidth="1"/>
    <col min="4610" max="4610" width="13.86328125" style="10" customWidth="1"/>
    <col min="4611" max="4611" width="10.53125" style="10" customWidth="1"/>
    <col min="4612" max="4628" width="12.1328125" style="10" customWidth="1"/>
    <col min="4629" max="4633" width="12.9296875" style="10" customWidth="1"/>
    <col min="4634" max="4639" width="9.06640625" style="10"/>
    <col min="4640" max="4640" width="11.86328125" style="10" customWidth="1"/>
    <col min="4641" max="4864" width="9.06640625" style="10"/>
    <col min="4865" max="4865" width="10.1328125" style="10" customWidth="1"/>
    <col min="4866" max="4866" width="13.86328125" style="10" customWidth="1"/>
    <col min="4867" max="4867" width="10.53125" style="10" customWidth="1"/>
    <col min="4868" max="4884" width="12.1328125" style="10" customWidth="1"/>
    <col min="4885" max="4889" width="12.9296875" style="10" customWidth="1"/>
    <col min="4890" max="4895" width="9.06640625" style="10"/>
    <col min="4896" max="4896" width="11.86328125" style="10" customWidth="1"/>
    <col min="4897" max="5120" width="9.06640625" style="10"/>
    <col min="5121" max="5121" width="10.1328125" style="10" customWidth="1"/>
    <col min="5122" max="5122" width="13.86328125" style="10" customWidth="1"/>
    <col min="5123" max="5123" width="10.53125" style="10" customWidth="1"/>
    <col min="5124" max="5140" width="12.1328125" style="10" customWidth="1"/>
    <col min="5141" max="5145" width="12.9296875" style="10" customWidth="1"/>
    <col min="5146" max="5151" width="9.06640625" style="10"/>
    <col min="5152" max="5152" width="11.86328125" style="10" customWidth="1"/>
    <col min="5153" max="5376" width="9.06640625" style="10"/>
    <col min="5377" max="5377" width="10.1328125" style="10" customWidth="1"/>
    <col min="5378" max="5378" width="13.86328125" style="10" customWidth="1"/>
    <col min="5379" max="5379" width="10.53125" style="10" customWidth="1"/>
    <col min="5380" max="5396" width="12.1328125" style="10" customWidth="1"/>
    <col min="5397" max="5401" width="12.9296875" style="10" customWidth="1"/>
    <col min="5402" max="5407" width="9.06640625" style="10"/>
    <col min="5408" max="5408" width="11.86328125" style="10" customWidth="1"/>
    <col min="5409" max="5632" width="9.06640625" style="10"/>
    <col min="5633" max="5633" width="10.1328125" style="10" customWidth="1"/>
    <col min="5634" max="5634" width="13.86328125" style="10" customWidth="1"/>
    <col min="5635" max="5635" width="10.53125" style="10" customWidth="1"/>
    <col min="5636" max="5652" width="12.1328125" style="10" customWidth="1"/>
    <col min="5653" max="5657" width="12.9296875" style="10" customWidth="1"/>
    <col min="5658" max="5663" width="9.06640625" style="10"/>
    <col min="5664" max="5664" width="11.86328125" style="10" customWidth="1"/>
    <col min="5665" max="5888" width="9.06640625" style="10"/>
    <col min="5889" max="5889" width="10.1328125" style="10" customWidth="1"/>
    <col min="5890" max="5890" width="13.86328125" style="10" customWidth="1"/>
    <col min="5891" max="5891" width="10.53125" style="10" customWidth="1"/>
    <col min="5892" max="5908" width="12.1328125" style="10" customWidth="1"/>
    <col min="5909" max="5913" width="12.9296875" style="10" customWidth="1"/>
    <col min="5914" max="5919" width="9.06640625" style="10"/>
    <col min="5920" max="5920" width="11.86328125" style="10" customWidth="1"/>
    <col min="5921" max="6144" width="9.06640625" style="10"/>
    <col min="6145" max="6145" width="10.1328125" style="10" customWidth="1"/>
    <col min="6146" max="6146" width="13.86328125" style="10" customWidth="1"/>
    <col min="6147" max="6147" width="10.53125" style="10" customWidth="1"/>
    <col min="6148" max="6164" width="12.1328125" style="10" customWidth="1"/>
    <col min="6165" max="6169" width="12.9296875" style="10" customWidth="1"/>
    <col min="6170" max="6175" width="9.06640625" style="10"/>
    <col min="6176" max="6176" width="11.86328125" style="10" customWidth="1"/>
    <col min="6177" max="6400" width="9.06640625" style="10"/>
    <col min="6401" max="6401" width="10.1328125" style="10" customWidth="1"/>
    <col min="6402" max="6402" width="13.86328125" style="10" customWidth="1"/>
    <col min="6403" max="6403" width="10.53125" style="10" customWidth="1"/>
    <col min="6404" max="6420" width="12.1328125" style="10" customWidth="1"/>
    <col min="6421" max="6425" width="12.9296875" style="10" customWidth="1"/>
    <col min="6426" max="6431" width="9.06640625" style="10"/>
    <col min="6432" max="6432" width="11.86328125" style="10" customWidth="1"/>
    <col min="6433" max="6656" width="9.06640625" style="10"/>
    <col min="6657" max="6657" width="10.1328125" style="10" customWidth="1"/>
    <col min="6658" max="6658" width="13.86328125" style="10" customWidth="1"/>
    <col min="6659" max="6659" width="10.53125" style="10" customWidth="1"/>
    <col min="6660" max="6676" width="12.1328125" style="10" customWidth="1"/>
    <col min="6677" max="6681" width="12.9296875" style="10" customWidth="1"/>
    <col min="6682" max="6687" width="9.06640625" style="10"/>
    <col min="6688" max="6688" width="11.86328125" style="10" customWidth="1"/>
    <col min="6689" max="6912" width="9.06640625" style="10"/>
    <col min="6913" max="6913" width="10.1328125" style="10" customWidth="1"/>
    <col min="6914" max="6914" width="13.86328125" style="10" customWidth="1"/>
    <col min="6915" max="6915" width="10.53125" style="10" customWidth="1"/>
    <col min="6916" max="6932" width="12.1328125" style="10" customWidth="1"/>
    <col min="6933" max="6937" width="12.9296875" style="10" customWidth="1"/>
    <col min="6938" max="6943" width="9.06640625" style="10"/>
    <col min="6944" max="6944" width="11.86328125" style="10" customWidth="1"/>
    <col min="6945" max="7168" width="9.06640625" style="10"/>
    <col min="7169" max="7169" width="10.1328125" style="10" customWidth="1"/>
    <col min="7170" max="7170" width="13.86328125" style="10" customWidth="1"/>
    <col min="7171" max="7171" width="10.53125" style="10" customWidth="1"/>
    <col min="7172" max="7188" width="12.1328125" style="10" customWidth="1"/>
    <col min="7189" max="7193" width="12.9296875" style="10" customWidth="1"/>
    <col min="7194" max="7199" width="9.06640625" style="10"/>
    <col min="7200" max="7200" width="11.86328125" style="10" customWidth="1"/>
    <col min="7201" max="7424" width="9.06640625" style="10"/>
    <col min="7425" max="7425" width="10.1328125" style="10" customWidth="1"/>
    <col min="7426" max="7426" width="13.86328125" style="10" customWidth="1"/>
    <col min="7427" max="7427" width="10.53125" style="10" customWidth="1"/>
    <col min="7428" max="7444" width="12.1328125" style="10" customWidth="1"/>
    <col min="7445" max="7449" width="12.9296875" style="10" customWidth="1"/>
    <col min="7450" max="7455" width="9.06640625" style="10"/>
    <col min="7456" max="7456" width="11.86328125" style="10" customWidth="1"/>
    <col min="7457" max="7680" width="9.06640625" style="10"/>
    <col min="7681" max="7681" width="10.1328125" style="10" customWidth="1"/>
    <col min="7682" max="7682" width="13.86328125" style="10" customWidth="1"/>
    <col min="7683" max="7683" width="10.53125" style="10" customWidth="1"/>
    <col min="7684" max="7700" width="12.1328125" style="10" customWidth="1"/>
    <col min="7701" max="7705" width="12.9296875" style="10" customWidth="1"/>
    <col min="7706" max="7711" width="9.06640625" style="10"/>
    <col min="7712" max="7712" width="11.86328125" style="10" customWidth="1"/>
    <col min="7713" max="7936" width="9.06640625" style="10"/>
    <col min="7937" max="7937" width="10.1328125" style="10" customWidth="1"/>
    <col min="7938" max="7938" width="13.86328125" style="10" customWidth="1"/>
    <col min="7939" max="7939" width="10.53125" style="10" customWidth="1"/>
    <col min="7940" max="7956" width="12.1328125" style="10" customWidth="1"/>
    <col min="7957" max="7961" width="12.9296875" style="10" customWidth="1"/>
    <col min="7962" max="7967" width="9.06640625" style="10"/>
    <col min="7968" max="7968" width="11.86328125" style="10" customWidth="1"/>
    <col min="7969" max="8192" width="9.06640625" style="10"/>
    <col min="8193" max="8193" width="10.1328125" style="10" customWidth="1"/>
    <col min="8194" max="8194" width="13.86328125" style="10" customWidth="1"/>
    <col min="8195" max="8195" width="10.53125" style="10" customWidth="1"/>
    <col min="8196" max="8212" width="12.1328125" style="10" customWidth="1"/>
    <col min="8213" max="8217" width="12.9296875" style="10" customWidth="1"/>
    <col min="8218" max="8223" width="9.06640625" style="10"/>
    <col min="8224" max="8224" width="11.86328125" style="10" customWidth="1"/>
    <col min="8225" max="8448" width="9.06640625" style="10"/>
    <col min="8449" max="8449" width="10.1328125" style="10" customWidth="1"/>
    <col min="8450" max="8450" width="13.86328125" style="10" customWidth="1"/>
    <col min="8451" max="8451" width="10.53125" style="10" customWidth="1"/>
    <col min="8452" max="8468" width="12.1328125" style="10" customWidth="1"/>
    <col min="8469" max="8473" width="12.9296875" style="10" customWidth="1"/>
    <col min="8474" max="8479" width="9.06640625" style="10"/>
    <col min="8480" max="8480" width="11.86328125" style="10" customWidth="1"/>
    <col min="8481" max="8704" width="9.06640625" style="10"/>
    <col min="8705" max="8705" width="10.1328125" style="10" customWidth="1"/>
    <col min="8706" max="8706" width="13.86328125" style="10" customWidth="1"/>
    <col min="8707" max="8707" width="10.53125" style="10" customWidth="1"/>
    <col min="8708" max="8724" width="12.1328125" style="10" customWidth="1"/>
    <col min="8725" max="8729" width="12.9296875" style="10" customWidth="1"/>
    <col min="8730" max="8735" width="9.06640625" style="10"/>
    <col min="8736" max="8736" width="11.86328125" style="10" customWidth="1"/>
    <col min="8737" max="8960" width="9.06640625" style="10"/>
    <col min="8961" max="8961" width="10.1328125" style="10" customWidth="1"/>
    <col min="8962" max="8962" width="13.86328125" style="10" customWidth="1"/>
    <col min="8963" max="8963" width="10.53125" style="10" customWidth="1"/>
    <col min="8964" max="8980" width="12.1328125" style="10" customWidth="1"/>
    <col min="8981" max="8985" width="12.9296875" style="10" customWidth="1"/>
    <col min="8986" max="8991" width="9.06640625" style="10"/>
    <col min="8992" max="8992" width="11.86328125" style="10" customWidth="1"/>
    <col min="8993" max="9216" width="9.06640625" style="10"/>
    <col min="9217" max="9217" width="10.1328125" style="10" customWidth="1"/>
    <col min="9218" max="9218" width="13.86328125" style="10" customWidth="1"/>
    <col min="9219" max="9219" width="10.53125" style="10" customWidth="1"/>
    <col min="9220" max="9236" width="12.1328125" style="10" customWidth="1"/>
    <col min="9237" max="9241" width="12.9296875" style="10" customWidth="1"/>
    <col min="9242" max="9247" width="9.06640625" style="10"/>
    <col min="9248" max="9248" width="11.86328125" style="10" customWidth="1"/>
    <col min="9249" max="9472" width="9.06640625" style="10"/>
    <col min="9473" max="9473" width="10.1328125" style="10" customWidth="1"/>
    <col min="9474" max="9474" width="13.86328125" style="10" customWidth="1"/>
    <col min="9475" max="9475" width="10.53125" style="10" customWidth="1"/>
    <col min="9476" max="9492" width="12.1328125" style="10" customWidth="1"/>
    <col min="9493" max="9497" width="12.9296875" style="10" customWidth="1"/>
    <col min="9498" max="9503" width="9.06640625" style="10"/>
    <col min="9504" max="9504" width="11.86328125" style="10" customWidth="1"/>
    <col min="9505" max="9728" width="9.06640625" style="10"/>
    <col min="9729" max="9729" width="10.1328125" style="10" customWidth="1"/>
    <col min="9730" max="9730" width="13.86328125" style="10" customWidth="1"/>
    <col min="9731" max="9731" width="10.53125" style="10" customWidth="1"/>
    <col min="9732" max="9748" width="12.1328125" style="10" customWidth="1"/>
    <col min="9749" max="9753" width="12.9296875" style="10" customWidth="1"/>
    <col min="9754" max="9759" width="9.06640625" style="10"/>
    <col min="9760" max="9760" width="11.86328125" style="10" customWidth="1"/>
    <col min="9761" max="9984" width="9.06640625" style="10"/>
    <col min="9985" max="9985" width="10.1328125" style="10" customWidth="1"/>
    <col min="9986" max="9986" width="13.86328125" style="10" customWidth="1"/>
    <col min="9987" max="9987" width="10.53125" style="10" customWidth="1"/>
    <col min="9988" max="10004" width="12.1328125" style="10" customWidth="1"/>
    <col min="10005" max="10009" width="12.9296875" style="10" customWidth="1"/>
    <col min="10010" max="10015" width="9.06640625" style="10"/>
    <col min="10016" max="10016" width="11.86328125" style="10" customWidth="1"/>
    <col min="10017" max="10240" width="9.06640625" style="10"/>
    <col min="10241" max="10241" width="10.1328125" style="10" customWidth="1"/>
    <col min="10242" max="10242" width="13.86328125" style="10" customWidth="1"/>
    <col min="10243" max="10243" width="10.53125" style="10" customWidth="1"/>
    <col min="10244" max="10260" width="12.1328125" style="10" customWidth="1"/>
    <col min="10261" max="10265" width="12.9296875" style="10" customWidth="1"/>
    <col min="10266" max="10271" width="9.06640625" style="10"/>
    <col min="10272" max="10272" width="11.86328125" style="10" customWidth="1"/>
    <col min="10273" max="10496" width="9.06640625" style="10"/>
    <col min="10497" max="10497" width="10.1328125" style="10" customWidth="1"/>
    <col min="10498" max="10498" width="13.86328125" style="10" customWidth="1"/>
    <col min="10499" max="10499" width="10.53125" style="10" customWidth="1"/>
    <col min="10500" max="10516" width="12.1328125" style="10" customWidth="1"/>
    <col min="10517" max="10521" width="12.9296875" style="10" customWidth="1"/>
    <col min="10522" max="10527" width="9.06640625" style="10"/>
    <col min="10528" max="10528" width="11.86328125" style="10" customWidth="1"/>
    <col min="10529" max="10752" width="9.06640625" style="10"/>
    <col min="10753" max="10753" width="10.1328125" style="10" customWidth="1"/>
    <col min="10754" max="10754" width="13.86328125" style="10" customWidth="1"/>
    <col min="10755" max="10755" width="10.53125" style="10" customWidth="1"/>
    <col min="10756" max="10772" width="12.1328125" style="10" customWidth="1"/>
    <col min="10773" max="10777" width="12.9296875" style="10" customWidth="1"/>
    <col min="10778" max="10783" width="9.06640625" style="10"/>
    <col min="10784" max="10784" width="11.86328125" style="10" customWidth="1"/>
    <col min="10785" max="11008" width="9.06640625" style="10"/>
    <col min="11009" max="11009" width="10.1328125" style="10" customWidth="1"/>
    <col min="11010" max="11010" width="13.86328125" style="10" customWidth="1"/>
    <col min="11011" max="11011" width="10.53125" style="10" customWidth="1"/>
    <col min="11012" max="11028" width="12.1328125" style="10" customWidth="1"/>
    <col min="11029" max="11033" width="12.9296875" style="10" customWidth="1"/>
    <col min="11034" max="11039" width="9.06640625" style="10"/>
    <col min="11040" max="11040" width="11.86328125" style="10" customWidth="1"/>
    <col min="11041" max="11264" width="9.06640625" style="10"/>
    <col min="11265" max="11265" width="10.1328125" style="10" customWidth="1"/>
    <col min="11266" max="11266" width="13.86328125" style="10" customWidth="1"/>
    <col min="11267" max="11267" width="10.53125" style="10" customWidth="1"/>
    <col min="11268" max="11284" width="12.1328125" style="10" customWidth="1"/>
    <col min="11285" max="11289" width="12.9296875" style="10" customWidth="1"/>
    <col min="11290" max="11295" width="9.06640625" style="10"/>
    <col min="11296" max="11296" width="11.86328125" style="10" customWidth="1"/>
    <col min="11297" max="11520" width="9.06640625" style="10"/>
    <col min="11521" max="11521" width="10.1328125" style="10" customWidth="1"/>
    <col min="11522" max="11522" width="13.86328125" style="10" customWidth="1"/>
    <col min="11523" max="11523" width="10.53125" style="10" customWidth="1"/>
    <col min="11524" max="11540" width="12.1328125" style="10" customWidth="1"/>
    <col min="11541" max="11545" width="12.9296875" style="10" customWidth="1"/>
    <col min="11546" max="11551" width="9.06640625" style="10"/>
    <col min="11552" max="11552" width="11.86328125" style="10" customWidth="1"/>
    <col min="11553" max="11776" width="9.06640625" style="10"/>
    <col min="11777" max="11777" width="10.1328125" style="10" customWidth="1"/>
    <col min="11778" max="11778" width="13.86328125" style="10" customWidth="1"/>
    <col min="11779" max="11779" width="10.53125" style="10" customWidth="1"/>
    <col min="11780" max="11796" width="12.1328125" style="10" customWidth="1"/>
    <col min="11797" max="11801" width="12.9296875" style="10" customWidth="1"/>
    <col min="11802" max="11807" width="9.06640625" style="10"/>
    <col min="11808" max="11808" width="11.86328125" style="10" customWidth="1"/>
    <col min="11809" max="12032" width="9.06640625" style="10"/>
    <col min="12033" max="12033" width="10.1328125" style="10" customWidth="1"/>
    <col min="12034" max="12034" width="13.86328125" style="10" customWidth="1"/>
    <col min="12035" max="12035" width="10.53125" style="10" customWidth="1"/>
    <col min="12036" max="12052" width="12.1328125" style="10" customWidth="1"/>
    <col min="12053" max="12057" width="12.9296875" style="10" customWidth="1"/>
    <col min="12058" max="12063" width="9.06640625" style="10"/>
    <col min="12064" max="12064" width="11.86328125" style="10" customWidth="1"/>
    <col min="12065" max="12288" width="9.06640625" style="10"/>
    <col min="12289" max="12289" width="10.1328125" style="10" customWidth="1"/>
    <col min="12290" max="12290" width="13.86328125" style="10" customWidth="1"/>
    <col min="12291" max="12291" width="10.53125" style="10" customWidth="1"/>
    <col min="12292" max="12308" width="12.1328125" style="10" customWidth="1"/>
    <col min="12309" max="12313" width="12.9296875" style="10" customWidth="1"/>
    <col min="12314" max="12319" width="9.06640625" style="10"/>
    <col min="12320" max="12320" width="11.86328125" style="10" customWidth="1"/>
    <col min="12321" max="12544" width="9.06640625" style="10"/>
    <col min="12545" max="12545" width="10.1328125" style="10" customWidth="1"/>
    <col min="12546" max="12546" width="13.86328125" style="10" customWidth="1"/>
    <col min="12547" max="12547" width="10.53125" style="10" customWidth="1"/>
    <col min="12548" max="12564" width="12.1328125" style="10" customWidth="1"/>
    <col min="12565" max="12569" width="12.9296875" style="10" customWidth="1"/>
    <col min="12570" max="12575" width="9.06640625" style="10"/>
    <col min="12576" max="12576" width="11.86328125" style="10" customWidth="1"/>
    <col min="12577" max="12800" width="9.06640625" style="10"/>
    <col min="12801" max="12801" width="10.1328125" style="10" customWidth="1"/>
    <col min="12802" max="12802" width="13.86328125" style="10" customWidth="1"/>
    <col min="12803" max="12803" width="10.53125" style="10" customWidth="1"/>
    <col min="12804" max="12820" width="12.1328125" style="10" customWidth="1"/>
    <col min="12821" max="12825" width="12.9296875" style="10" customWidth="1"/>
    <col min="12826" max="12831" width="9.06640625" style="10"/>
    <col min="12832" max="12832" width="11.86328125" style="10" customWidth="1"/>
    <col min="12833" max="13056" width="9.06640625" style="10"/>
    <col min="13057" max="13057" width="10.1328125" style="10" customWidth="1"/>
    <col min="13058" max="13058" width="13.86328125" style="10" customWidth="1"/>
    <col min="13059" max="13059" width="10.53125" style="10" customWidth="1"/>
    <col min="13060" max="13076" width="12.1328125" style="10" customWidth="1"/>
    <col min="13077" max="13081" width="12.9296875" style="10" customWidth="1"/>
    <col min="13082" max="13087" width="9.06640625" style="10"/>
    <col min="13088" max="13088" width="11.86328125" style="10" customWidth="1"/>
    <col min="13089" max="13312" width="9.06640625" style="10"/>
    <col min="13313" max="13313" width="10.1328125" style="10" customWidth="1"/>
    <col min="13314" max="13314" width="13.86328125" style="10" customWidth="1"/>
    <col min="13315" max="13315" width="10.53125" style="10" customWidth="1"/>
    <col min="13316" max="13332" width="12.1328125" style="10" customWidth="1"/>
    <col min="13333" max="13337" width="12.9296875" style="10" customWidth="1"/>
    <col min="13338" max="13343" width="9.06640625" style="10"/>
    <col min="13344" max="13344" width="11.86328125" style="10" customWidth="1"/>
    <col min="13345" max="13568" width="9.06640625" style="10"/>
    <col min="13569" max="13569" width="10.1328125" style="10" customWidth="1"/>
    <col min="13570" max="13570" width="13.86328125" style="10" customWidth="1"/>
    <col min="13571" max="13571" width="10.53125" style="10" customWidth="1"/>
    <col min="13572" max="13588" width="12.1328125" style="10" customWidth="1"/>
    <col min="13589" max="13593" width="12.9296875" style="10" customWidth="1"/>
    <col min="13594" max="13599" width="9.06640625" style="10"/>
    <col min="13600" max="13600" width="11.86328125" style="10" customWidth="1"/>
    <col min="13601" max="13824" width="9.06640625" style="10"/>
    <col min="13825" max="13825" width="10.1328125" style="10" customWidth="1"/>
    <col min="13826" max="13826" width="13.86328125" style="10" customWidth="1"/>
    <col min="13827" max="13827" width="10.53125" style="10" customWidth="1"/>
    <col min="13828" max="13844" width="12.1328125" style="10" customWidth="1"/>
    <col min="13845" max="13849" width="12.9296875" style="10" customWidth="1"/>
    <col min="13850" max="13855" width="9.06640625" style="10"/>
    <col min="13856" max="13856" width="11.86328125" style="10" customWidth="1"/>
    <col min="13857" max="14080" width="9.06640625" style="10"/>
    <col min="14081" max="14081" width="10.1328125" style="10" customWidth="1"/>
    <col min="14082" max="14082" width="13.86328125" style="10" customWidth="1"/>
    <col min="14083" max="14083" width="10.53125" style="10" customWidth="1"/>
    <col min="14084" max="14100" width="12.1328125" style="10" customWidth="1"/>
    <col min="14101" max="14105" width="12.9296875" style="10" customWidth="1"/>
    <col min="14106" max="14111" width="9.06640625" style="10"/>
    <col min="14112" max="14112" width="11.86328125" style="10" customWidth="1"/>
    <col min="14113" max="14336" width="9.06640625" style="10"/>
    <col min="14337" max="14337" width="10.1328125" style="10" customWidth="1"/>
    <col min="14338" max="14338" width="13.86328125" style="10" customWidth="1"/>
    <col min="14339" max="14339" width="10.53125" style="10" customWidth="1"/>
    <col min="14340" max="14356" width="12.1328125" style="10" customWidth="1"/>
    <col min="14357" max="14361" width="12.9296875" style="10" customWidth="1"/>
    <col min="14362" max="14367" width="9.06640625" style="10"/>
    <col min="14368" max="14368" width="11.86328125" style="10" customWidth="1"/>
    <col min="14369" max="14592" width="9.06640625" style="10"/>
    <col min="14593" max="14593" width="10.1328125" style="10" customWidth="1"/>
    <col min="14594" max="14594" width="13.86328125" style="10" customWidth="1"/>
    <col min="14595" max="14595" width="10.53125" style="10" customWidth="1"/>
    <col min="14596" max="14612" width="12.1328125" style="10" customWidth="1"/>
    <col min="14613" max="14617" width="12.9296875" style="10" customWidth="1"/>
    <col min="14618" max="14623" width="9.06640625" style="10"/>
    <col min="14624" max="14624" width="11.86328125" style="10" customWidth="1"/>
    <col min="14625" max="14848" width="9.06640625" style="10"/>
    <col min="14849" max="14849" width="10.1328125" style="10" customWidth="1"/>
    <col min="14850" max="14850" width="13.86328125" style="10" customWidth="1"/>
    <col min="14851" max="14851" width="10.53125" style="10" customWidth="1"/>
    <col min="14852" max="14868" width="12.1328125" style="10" customWidth="1"/>
    <col min="14869" max="14873" width="12.9296875" style="10" customWidth="1"/>
    <col min="14874" max="14879" width="9.06640625" style="10"/>
    <col min="14880" max="14880" width="11.86328125" style="10" customWidth="1"/>
    <col min="14881" max="15104" width="9.06640625" style="10"/>
    <col min="15105" max="15105" width="10.1328125" style="10" customWidth="1"/>
    <col min="15106" max="15106" width="13.86328125" style="10" customWidth="1"/>
    <col min="15107" max="15107" width="10.53125" style="10" customWidth="1"/>
    <col min="15108" max="15124" width="12.1328125" style="10" customWidth="1"/>
    <col min="15125" max="15129" width="12.9296875" style="10" customWidth="1"/>
    <col min="15130" max="15135" width="9.06640625" style="10"/>
    <col min="15136" max="15136" width="11.86328125" style="10" customWidth="1"/>
    <col min="15137" max="15360" width="9.06640625" style="10"/>
    <col min="15361" max="15361" width="10.1328125" style="10" customWidth="1"/>
    <col min="15362" max="15362" width="13.86328125" style="10" customWidth="1"/>
    <col min="15363" max="15363" width="10.53125" style="10" customWidth="1"/>
    <col min="15364" max="15380" width="12.1328125" style="10" customWidth="1"/>
    <col min="15381" max="15385" width="12.9296875" style="10" customWidth="1"/>
    <col min="15386" max="15391" width="9.06640625" style="10"/>
    <col min="15392" max="15392" width="11.86328125" style="10" customWidth="1"/>
    <col min="15393" max="15616" width="9.06640625" style="10"/>
    <col min="15617" max="15617" width="10.1328125" style="10" customWidth="1"/>
    <col min="15618" max="15618" width="13.86328125" style="10" customWidth="1"/>
    <col min="15619" max="15619" width="10.53125" style="10" customWidth="1"/>
    <col min="15620" max="15636" width="12.1328125" style="10" customWidth="1"/>
    <col min="15637" max="15641" width="12.9296875" style="10" customWidth="1"/>
    <col min="15642" max="15647" width="9.06640625" style="10"/>
    <col min="15648" max="15648" width="11.86328125" style="10" customWidth="1"/>
    <col min="15649" max="15872" width="9.06640625" style="10"/>
    <col min="15873" max="15873" width="10.1328125" style="10" customWidth="1"/>
    <col min="15874" max="15874" width="13.86328125" style="10" customWidth="1"/>
    <col min="15875" max="15875" width="10.53125" style="10" customWidth="1"/>
    <col min="15876" max="15892" width="12.1328125" style="10" customWidth="1"/>
    <col min="15893" max="15897" width="12.9296875" style="10" customWidth="1"/>
    <col min="15898" max="15903" width="9.06640625" style="10"/>
    <col min="15904" max="15904" width="11.86328125" style="10" customWidth="1"/>
    <col min="15905" max="16128" width="9.06640625" style="10"/>
    <col min="16129" max="16129" width="10.1328125" style="10" customWidth="1"/>
    <col min="16130" max="16130" width="13.86328125" style="10" customWidth="1"/>
    <col min="16131" max="16131" width="10.53125" style="10" customWidth="1"/>
    <col min="16132" max="16148" width="12.1328125" style="10" customWidth="1"/>
    <col min="16149" max="16153" width="12.9296875" style="10" customWidth="1"/>
    <col min="16154" max="16159" width="9.06640625" style="10"/>
    <col min="16160" max="16160" width="11.86328125" style="10" customWidth="1"/>
    <col min="16161" max="16384" width="9.06640625" style="10"/>
  </cols>
  <sheetData>
    <row r="1" spans="1:38" ht="16.149999999999999" x14ac:dyDescent="0.4">
      <c r="A1" s="29"/>
      <c r="D1" s="29"/>
      <c r="E1" s="29" t="s">
        <v>166</v>
      </c>
      <c r="F1" s="29"/>
      <c r="G1" s="29"/>
      <c r="H1" s="29"/>
      <c r="I1" s="29"/>
      <c r="J1" s="30"/>
      <c r="K1" s="29" t="s">
        <v>166</v>
      </c>
      <c r="L1" s="29"/>
      <c r="M1" s="29"/>
      <c r="N1" s="29"/>
      <c r="O1" s="30"/>
      <c r="Q1" s="29" t="s">
        <v>167</v>
      </c>
      <c r="R1" s="29"/>
      <c r="S1" s="29"/>
      <c r="T1" s="30"/>
      <c r="V1" s="29" t="s">
        <v>168</v>
      </c>
      <c r="Z1" s="11"/>
      <c r="AA1" s="29" t="s">
        <v>0</v>
      </c>
      <c r="AB1" s="29" t="s">
        <v>169</v>
      </c>
      <c r="AE1" s="32" t="s">
        <v>170</v>
      </c>
      <c r="AH1" s="29"/>
      <c r="AK1" s="3" t="s">
        <v>171</v>
      </c>
      <c r="AL1" s="21"/>
    </row>
    <row r="2" spans="1:38" ht="16.149999999999999" x14ac:dyDescent="0.4">
      <c r="A2" s="34" t="s">
        <v>69</v>
      </c>
      <c r="B2" s="34" t="s">
        <v>70</v>
      </c>
      <c r="C2" s="35" t="s">
        <v>68</v>
      </c>
      <c r="D2" s="34" t="s">
        <v>172</v>
      </c>
      <c r="E2" s="34" t="s">
        <v>1</v>
      </c>
      <c r="F2" s="34" t="s">
        <v>2</v>
      </c>
      <c r="G2" s="34" t="s">
        <v>3</v>
      </c>
      <c r="H2" s="34" t="s">
        <v>4</v>
      </c>
      <c r="I2" s="34" t="s">
        <v>5</v>
      </c>
      <c r="J2" s="35" t="s">
        <v>6</v>
      </c>
      <c r="K2" s="34" t="s">
        <v>1</v>
      </c>
      <c r="L2" s="34" t="s">
        <v>2</v>
      </c>
      <c r="M2" s="34" t="s">
        <v>3</v>
      </c>
      <c r="N2" s="34" t="s">
        <v>7</v>
      </c>
      <c r="O2" s="35" t="s">
        <v>6</v>
      </c>
      <c r="P2" s="34" t="s">
        <v>1</v>
      </c>
      <c r="Q2" s="34" t="s">
        <v>2</v>
      </c>
      <c r="R2" s="34" t="s">
        <v>3</v>
      </c>
      <c r="S2" s="34" t="s">
        <v>7</v>
      </c>
      <c r="T2" s="35" t="s">
        <v>6</v>
      </c>
      <c r="U2" s="36" t="s">
        <v>1</v>
      </c>
      <c r="V2" s="34" t="s">
        <v>2</v>
      </c>
      <c r="W2" s="34" t="s">
        <v>3</v>
      </c>
      <c r="X2" s="34" t="s">
        <v>7</v>
      </c>
      <c r="Y2" s="35" t="s">
        <v>6</v>
      </c>
      <c r="Z2" s="34">
        <f>+(5+8)/2</f>
        <v>6.5</v>
      </c>
      <c r="AA2" s="34">
        <f>(2+5)/2</f>
        <v>3.5</v>
      </c>
      <c r="AB2" s="34">
        <f>+(1+2)/2</f>
        <v>1.5</v>
      </c>
      <c r="AC2" s="34">
        <f>+(0.25+1)/2</f>
        <v>0.625</v>
      </c>
      <c r="AD2" s="34">
        <f>0.25/2</f>
        <v>0.125</v>
      </c>
      <c r="AE2" s="16" t="s">
        <v>8</v>
      </c>
      <c r="AF2" s="37" t="s">
        <v>173</v>
      </c>
      <c r="AG2" s="34">
        <v>6.5</v>
      </c>
      <c r="AH2" s="34">
        <v>3.5</v>
      </c>
      <c r="AI2" s="34">
        <v>1.5</v>
      </c>
      <c r="AJ2" s="34">
        <f>+(0.25+1)/2</f>
        <v>0.625</v>
      </c>
      <c r="AK2" s="34" t="s">
        <v>9</v>
      </c>
      <c r="AL2" s="38" t="s">
        <v>174</v>
      </c>
    </row>
    <row r="3" spans="1:38" x14ac:dyDescent="0.4">
      <c r="A3" s="4" t="s">
        <v>10</v>
      </c>
      <c r="B3" s="6" t="s">
        <v>74</v>
      </c>
      <c r="C3" s="39" t="s">
        <v>11</v>
      </c>
      <c r="D3" s="3">
        <f>203.54+164.88+120.12</f>
        <v>488.53999999999996</v>
      </c>
      <c r="E3" s="3">
        <f>72.48+44.01+12</f>
        <v>128.49</v>
      </c>
      <c r="F3" s="3">
        <f>64.75+51.26+20.55</f>
        <v>136.56</v>
      </c>
      <c r="G3" s="3">
        <f>31.28+33.56+21.62</f>
        <v>86.460000000000008</v>
      </c>
      <c r="H3" s="3">
        <f>14.03+15.72+19.85</f>
        <v>49.6</v>
      </c>
      <c r="I3" s="3">
        <f>4.34+5.69+14</f>
        <v>24.03</v>
      </c>
      <c r="J3" s="40">
        <f>D3-E3-F3-G3-H3-I3</f>
        <v>63.399999999999949</v>
      </c>
      <c r="K3" s="3">
        <f>72.48+44.01+12</f>
        <v>128.49</v>
      </c>
      <c r="L3" s="3">
        <f>64.75+51.26+20.55</f>
        <v>136.56</v>
      </c>
      <c r="M3" s="3">
        <f>31.28+33.56+21.62</f>
        <v>86.460000000000008</v>
      </c>
      <c r="N3" s="41">
        <f>H3+I3</f>
        <v>73.63</v>
      </c>
      <c r="O3" s="40">
        <v>63.399999999999949</v>
      </c>
      <c r="P3" s="8">
        <f>K3/$D$3</f>
        <v>0.26300814672288864</v>
      </c>
      <c r="Q3" s="8">
        <f>L3/$D$3</f>
        <v>0.27952675318295334</v>
      </c>
      <c r="R3" s="8">
        <f>M3/$D$3</f>
        <v>0.17697629672084172</v>
      </c>
      <c r="S3" s="8">
        <f>N3/$D$3</f>
        <v>0.15071437343922708</v>
      </c>
      <c r="T3" s="8">
        <f>O3/$D$3</f>
        <v>0.12977442993408922</v>
      </c>
      <c r="U3" s="42">
        <f>AVERAGE(P3,P4,P5)</f>
        <v>0.262807967554547</v>
      </c>
      <c r="V3" s="8">
        <f>AVERAGE(Q3,Q4,Q5)</f>
        <v>0.303085720453312</v>
      </c>
      <c r="W3" s="8">
        <f>AVERAGE(R3,R4,R5)</f>
        <v>0.18238203115540053</v>
      </c>
      <c r="X3" s="8">
        <f>AVERAGE(S3,S4,S5)</f>
        <v>0.12140596134104842</v>
      </c>
      <c r="Y3" s="27">
        <f>AVERAGE(T3,T4,T5)</f>
        <v>0.13031831949569203</v>
      </c>
      <c r="Z3" s="8">
        <f>Z$2*P3</f>
        <v>1.7095529536987761</v>
      </c>
      <c r="AA3" s="8">
        <f t="shared" ref="AA3:AD7" si="0">+AA$2*Q3</f>
        <v>0.9783436361403367</v>
      </c>
      <c r="AB3" s="8">
        <f t="shared" si="0"/>
        <v>0.2654644450812626</v>
      </c>
      <c r="AC3" s="8">
        <f t="shared" si="0"/>
        <v>9.4196483399516931E-2</v>
      </c>
      <c r="AD3" s="27">
        <f t="shared" si="0"/>
        <v>1.6221803741761152E-2</v>
      </c>
      <c r="AE3" s="8">
        <f>SUM(Z3:AD3)</f>
        <v>3.0637793220616536</v>
      </c>
      <c r="AF3" s="22">
        <f>AVERAGE(AE3,AE4,AE5)</f>
        <v>3.1347933731993649</v>
      </c>
      <c r="AG3" s="8">
        <f>3-LN((D3-K3)/D3)/LN(6.5/8)</f>
        <v>1.5302476672575749</v>
      </c>
      <c r="AH3" s="8">
        <f>3-LN((D3-E3-F3)/D3)/LN(3.5/8)</f>
        <v>2.0539797371172286</v>
      </c>
      <c r="AI3" s="8">
        <f>3-LN((D3-K3-L3-M3)/D3)/LN(1.5/8)</f>
        <v>2.2405977491711688</v>
      </c>
      <c r="AJ3" s="8">
        <f>3-LN((D3-K3-L3-M3-N3)/D3)/LN(0.625/8)</f>
        <v>2.1990580878966899</v>
      </c>
      <c r="AK3" s="8">
        <f>AVERAGE(AG3:AJ3)</f>
        <v>2.0059708103606653</v>
      </c>
      <c r="AL3" s="22">
        <f>AVERAGE(AK3,AK4,AK5)</f>
        <v>1.9709996168530981</v>
      </c>
    </row>
    <row r="4" spans="1:38" x14ac:dyDescent="0.4">
      <c r="A4" s="4" t="s">
        <v>12</v>
      </c>
      <c r="B4" s="6" t="s">
        <v>74</v>
      </c>
      <c r="C4" s="39" t="s">
        <v>11</v>
      </c>
      <c r="D4" s="3">
        <f>207.71+192.01+241.18</f>
        <v>640.90000000000009</v>
      </c>
      <c r="E4" s="3">
        <f>56.14+13+32.83</f>
        <v>101.97</v>
      </c>
      <c r="F4" s="3">
        <f>67.02+33.52+60.16</f>
        <v>160.69999999999999</v>
      </c>
      <c r="G4" s="3">
        <f>29.47+42.12+47.87</f>
        <v>119.46000000000001</v>
      </c>
      <c r="H4" s="3">
        <f>8.54+34.09+29.52</f>
        <v>72.150000000000006</v>
      </c>
      <c r="I4" s="3">
        <f>3.67+19.55+12.52</f>
        <v>35.739999999999995</v>
      </c>
      <c r="J4" s="40">
        <f>D4-E4-F4-G4-H4-I4</f>
        <v>150.88000000000011</v>
      </c>
      <c r="K4" s="3">
        <f>56.14+13+32.83+50</f>
        <v>151.97</v>
      </c>
      <c r="L4" s="3">
        <f>67.02+33.52+60.16+30</f>
        <v>190.7</v>
      </c>
      <c r="M4" s="3">
        <f>29.47+42.12+47.87</f>
        <v>119.46000000000001</v>
      </c>
      <c r="N4" s="41">
        <f>H4+I4-30</f>
        <v>77.89</v>
      </c>
      <c r="O4" s="40">
        <f>150.88-50</f>
        <v>100.88</v>
      </c>
      <c r="P4" s="8">
        <f>K4/$D$4</f>
        <v>0.23711967545638943</v>
      </c>
      <c r="Q4" s="8">
        <f>L4/$D$4</f>
        <v>0.29755031986269304</v>
      </c>
      <c r="R4" s="8">
        <f>M4/$D$4</f>
        <v>0.186394133250117</v>
      </c>
      <c r="S4" s="8">
        <f>N4/$D$4</f>
        <v>0.12153222031518177</v>
      </c>
      <c r="T4" s="8">
        <f>O4/$D$4</f>
        <v>0.15740365111561863</v>
      </c>
      <c r="Z4" s="8">
        <f>Z$2*P4</f>
        <v>1.5412778904665312</v>
      </c>
      <c r="AA4" s="8">
        <f t="shared" si="0"/>
        <v>1.0414261195194257</v>
      </c>
      <c r="AB4" s="8">
        <f t="shared" si="0"/>
        <v>0.2795911998751755</v>
      </c>
      <c r="AC4" s="8">
        <f t="shared" si="0"/>
        <v>7.59576376969886E-2</v>
      </c>
      <c r="AD4" s="27">
        <f t="shared" si="0"/>
        <v>1.9675456389452329E-2</v>
      </c>
      <c r="AE4" s="8">
        <f>SUM(Z4:AD4)</f>
        <v>2.9579283039475732</v>
      </c>
      <c r="AG4" s="8">
        <f>3-LN((D4-K4)/D4)/LN(6.5/8)</f>
        <v>1.6965183174421012</v>
      </c>
      <c r="AH4" s="8">
        <f>3-LN((D4-E4-F4)/D4)/LN(3.5/8)</f>
        <v>2.3620604435279224</v>
      </c>
      <c r="AI4" s="8">
        <f>3-LN((D4-K4-L4-M4)/D4)/LN(1.5/8)</f>
        <v>2.2372811531408465</v>
      </c>
      <c r="AJ4" s="8">
        <f>3-LN((D4-K4-L4-M4-N4)/D4)/LN(0.625/8)</f>
        <v>2.2747670089401213</v>
      </c>
      <c r="AK4" s="8">
        <f>AVERAGE(AG4:AJ4)</f>
        <v>2.1426567307627478</v>
      </c>
      <c r="AL4" s="33"/>
    </row>
    <row r="5" spans="1:38" x14ac:dyDescent="0.4">
      <c r="A5" s="4" t="s">
        <v>13</v>
      </c>
      <c r="B5" s="6" t="s">
        <v>74</v>
      </c>
      <c r="C5" s="39" t="s">
        <v>11</v>
      </c>
      <c r="D5" s="3">
        <f>172.98+170.35+206.54+109.14</f>
        <v>659.01</v>
      </c>
      <c r="E5" s="3">
        <f>60.75+49.99+93.63+35.61</f>
        <v>239.98000000000002</v>
      </c>
      <c r="F5" s="3">
        <f>65.79+59.23+63.41+30.48</f>
        <v>218.91</v>
      </c>
      <c r="G5" s="3">
        <f>33+34.66+31.72+21.73</f>
        <v>121.11</v>
      </c>
      <c r="H5" s="3">
        <f>7.91+15.79+10.3+12.22</f>
        <v>46.22</v>
      </c>
      <c r="I5" s="3">
        <f>0.63+4.96+3.01+5.79</f>
        <v>14.39</v>
      </c>
      <c r="J5" s="40">
        <f>D5-E5-F5-G5-H5-I5</f>
        <v>18.399999999999977</v>
      </c>
      <c r="K5" s="3">
        <f>60.75+93.63+35.61</f>
        <v>189.99</v>
      </c>
      <c r="L5" s="3">
        <f>65.79+59.23+63.41+30.48</f>
        <v>218.91</v>
      </c>
      <c r="M5" s="3">
        <f>33+34.66+31.72+21.73</f>
        <v>121.11</v>
      </c>
      <c r="N5" s="41">
        <f>H5+I5</f>
        <v>60.61</v>
      </c>
      <c r="O5" s="40">
        <f>18.4+49.99</f>
        <v>68.39</v>
      </c>
      <c r="P5" s="8">
        <f>K5/$D$5</f>
        <v>0.28829608048436295</v>
      </c>
      <c r="Q5" s="8">
        <f>L5/$D$5</f>
        <v>0.33218008831428963</v>
      </c>
      <c r="R5" s="8">
        <f>M5/$D$5</f>
        <v>0.18377566349524285</v>
      </c>
      <c r="S5" s="8">
        <f>N5/$D$5</f>
        <v>9.1971290268736433E-2</v>
      </c>
      <c r="T5" s="8">
        <f>O5/$D$5</f>
        <v>0.10377687743736817</v>
      </c>
      <c r="Z5" s="8">
        <f>Z$2*P5</f>
        <v>1.8739245231483592</v>
      </c>
      <c r="AA5" s="8">
        <f t="shared" si="0"/>
        <v>1.1626303091000136</v>
      </c>
      <c r="AB5" s="8">
        <f t="shared" si="0"/>
        <v>0.27566349524286426</v>
      </c>
      <c r="AC5" s="8">
        <f t="shared" si="0"/>
        <v>5.7482056417960267E-2</v>
      </c>
      <c r="AD5" s="27">
        <f t="shared" si="0"/>
        <v>1.2972109679671022E-2</v>
      </c>
      <c r="AE5" s="8">
        <f>SUM(Z5:AD5)</f>
        <v>3.3826724935888688</v>
      </c>
      <c r="AG5" s="8">
        <f>3-LN((D5-K5)/D5)/LN(6.5/8)</f>
        <v>1.3620962345115808</v>
      </c>
      <c r="AH5" s="8">
        <f>3-LN((D5-E5-F5)/D5)/LN(3.5/8)</f>
        <v>1.5583011814577989</v>
      </c>
      <c r="AI5" s="8">
        <f>3-LN((D5-K5-L5-M5)/D5)/LN(1.5/8)</f>
        <v>2.0257172850081799</v>
      </c>
      <c r="AJ5" s="8">
        <f>3-LN((D5-K5-L5-M5-N5)/D5)/LN(0.625/8)</f>
        <v>2.1113705367659628</v>
      </c>
      <c r="AK5" s="8">
        <f>AVERAGE(AG5:AJ5)</f>
        <v>1.7643713094358806</v>
      </c>
      <c r="AL5" s="33"/>
    </row>
    <row r="6" spans="1:38" x14ac:dyDescent="0.4">
      <c r="A6" s="4" t="s">
        <v>14</v>
      </c>
      <c r="B6" s="6" t="s">
        <v>74</v>
      </c>
      <c r="C6" s="43" t="s">
        <v>15</v>
      </c>
      <c r="D6" s="3">
        <f>234.38+238.49+198.14</f>
        <v>671.01</v>
      </c>
      <c r="E6" s="3">
        <f>53.83+52.39+26.76</f>
        <v>132.97999999999999</v>
      </c>
      <c r="F6" s="3">
        <f>70.99+69.1+44.85</f>
        <v>184.93999999999997</v>
      </c>
      <c r="G6" s="3">
        <f>33.97+40.77+28.64</f>
        <v>103.38000000000001</v>
      </c>
      <c r="H6" s="3">
        <f>15.67+20.44+18.13</f>
        <v>54.239999999999995</v>
      </c>
      <c r="I6" s="3">
        <f>4.95+6.48+11.14</f>
        <v>22.57</v>
      </c>
      <c r="J6" s="40">
        <f>D6-E6-F6-G6-H6-I6</f>
        <v>172.90000000000003</v>
      </c>
      <c r="K6" s="3">
        <f>53.83+52.39+26.76-15</f>
        <v>117.97999999999999</v>
      </c>
      <c r="L6" s="3">
        <f>70.99+69.1+44.85</f>
        <v>184.93999999999997</v>
      </c>
      <c r="M6" s="3">
        <f>33.97+40.77+28.64</f>
        <v>103.38000000000001</v>
      </c>
      <c r="N6" s="41">
        <f>H6+I6</f>
        <v>76.81</v>
      </c>
      <c r="O6" s="40">
        <f>172.9+15</f>
        <v>187.9</v>
      </c>
      <c r="P6" s="8">
        <f>K6/$D$6</f>
        <v>0.17582450336060565</v>
      </c>
      <c r="Q6" s="8">
        <f>L6/$D$6</f>
        <v>0.27561437236404818</v>
      </c>
      <c r="R6" s="8">
        <f>M6/$D$6</f>
        <v>0.15406625832699961</v>
      </c>
      <c r="S6" s="8">
        <f>N6/$D$6</f>
        <v>0.11446923294734804</v>
      </c>
      <c r="T6" s="8">
        <f>O6/$D$6</f>
        <v>0.28002563300099853</v>
      </c>
      <c r="U6" s="42">
        <f>AVERAGE(P6,P7)</f>
        <v>0.17126253232782579</v>
      </c>
      <c r="V6" s="8">
        <f>AVERAGE(Q6,Q7)</f>
        <v>0.25933976569882222</v>
      </c>
      <c r="W6" s="8">
        <f>AVERAGE(R6,R7)</f>
        <v>0.15039805229048264</v>
      </c>
      <c r="X6" s="8">
        <f>AVERAGE(S6,S7)</f>
        <v>0.11538763038402951</v>
      </c>
      <c r="Y6" s="27">
        <f>AVERAGE(T6,T7)</f>
        <v>0.30361201929883974</v>
      </c>
      <c r="Z6" s="8">
        <f>Z$2*P6</f>
        <v>1.1428592718439368</v>
      </c>
      <c r="AA6" s="8">
        <f t="shared" si="0"/>
        <v>0.96465030327416867</v>
      </c>
      <c r="AB6" s="8">
        <f t="shared" si="0"/>
        <v>0.23109938749049941</v>
      </c>
      <c r="AC6" s="8">
        <f t="shared" si="0"/>
        <v>7.154327059209252E-2</v>
      </c>
      <c r="AD6" s="27">
        <f t="shared" si="0"/>
        <v>3.5003204125124816E-2</v>
      </c>
      <c r="AE6" s="8">
        <f>SUM(Z6:AD6)</f>
        <v>2.4451554373258224</v>
      </c>
      <c r="AF6" s="22">
        <f>AVERAGE(AE6,AE7)</f>
        <v>2.3565614899148435</v>
      </c>
      <c r="AG6" s="8">
        <f>3-LN((D6-K6)/D6)/LN(6.5/8)</f>
        <v>2.0687132442443907</v>
      </c>
      <c r="AH6" s="8">
        <f>3-LN((D6-E6-F6)/D6)/LN(3.5/8)</f>
        <v>2.2233244227284699</v>
      </c>
      <c r="AI6" s="8">
        <f>3-LN((D6-K6-L6-M6)/D6)/LN(1.5/8)</f>
        <v>2.4443475223430022</v>
      </c>
      <c r="AJ6" s="8">
        <f>3-LN((D6-K6-L6-M6-N6)/D6)/LN(0.625/8)</f>
        <v>2.5007250408492787</v>
      </c>
      <c r="AK6" s="8">
        <f>AVERAGE(AG6:AJ6)</f>
        <v>2.3092775575412854</v>
      </c>
      <c r="AL6" s="22">
        <f>AVERAGE(AK6,AK7)</f>
        <v>2.3572650318290718</v>
      </c>
    </row>
    <row r="7" spans="1:38" x14ac:dyDescent="0.4">
      <c r="A7" s="4" t="s">
        <v>16</v>
      </c>
      <c r="B7" s="6" t="s">
        <v>74</v>
      </c>
      <c r="C7" s="43" t="s">
        <v>15</v>
      </c>
      <c r="D7" s="3">
        <f>183.56+144.42+163.74</f>
        <v>491.72</v>
      </c>
      <c r="E7" s="3">
        <f>28.24+26.33+12.4</f>
        <v>66.97</v>
      </c>
      <c r="F7" s="3">
        <f>52.66+42.16+24.7</f>
        <v>119.52</v>
      </c>
      <c r="G7" s="3">
        <f>31.4+19.67+21.08</f>
        <v>72.150000000000006</v>
      </c>
      <c r="H7" s="3">
        <f>13.58+7.97+16.43</f>
        <v>37.980000000000004</v>
      </c>
      <c r="I7" s="3">
        <f>4.48+3.05+11.68</f>
        <v>19.21</v>
      </c>
      <c r="J7" s="40">
        <f>D7-E7-F7-G7-H7-I7</f>
        <v>175.89000000000001</v>
      </c>
      <c r="K7" s="3">
        <f>28.24+26.33+12.4+15</f>
        <v>81.97</v>
      </c>
      <c r="L7" s="3">
        <f>52.66+42.16+24.7</f>
        <v>119.52</v>
      </c>
      <c r="M7" s="3">
        <f>31.4+19.67+21.08</f>
        <v>72.150000000000006</v>
      </c>
      <c r="N7" s="41">
        <f>H7+I7</f>
        <v>57.190000000000005</v>
      </c>
      <c r="O7" s="40">
        <f>175.89-15</f>
        <v>160.88999999999999</v>
      </c>
      <c r="P7" s="8">
        <f>K7/$D$7</f>
        <v>0.16670056129504596</v>
      </c>
      <c r="Q7" s="8">
        <f>L7/$D$7</f>
        <v>0.24306515903359632</v>
      </c>
      <c r="R7" s="8">
        <f>M7/$D$7</f>
        <v>0.14672984625396568</v>
      </c>
      <c r="S7" s="8">
        <f>N7/$D$7</f>
        <v>0.11630602782071098</v>
      </c>
      <c r="T7" s="8">
        <f>O7/$D$7</f>
        <v>0.32719840559668101</v>
      </c>
      <c r="Z7" s="8">
        <f>Z$2*P7</f>
        <v>1.0835536484177988</v>
      </c>
      <c r="AA7" s="8">
        <f t="shared" si="0"/>
        <v>0.8507280566175871</v>
      </c>
      <c r="AB7" s="8">
        <f t="shared" si="0"/>
        <v>0.22009476938094852</v>
      </c>
      <c r="AC7" s="8">
        <f t="shared" si="0"/>
        <v>7.2691267387944361E-2</v>
      </c>
      <c r="AD7" s="27">
        <f t="shared" si="0"/>
        <v>4.0899800699585126E-2</v>
      </c>
      <c r="AE7" s="8">
        <f>SUM(Z7:AD7)</f>
        <v>2.2679675425038646</v>
      </c>
      <c r="AG7" s="8">
        <f>3-LN((D7-K7)/D7)/LN(6.5/8)</f>
        <v>2.1217357490475801</v>
      </c>
      <c r="AH7" s="8">
        <f>3-LN((D7-E7-F7)/D7)/LN(3.5/8)</f>
        <v>2.4231810603442665</v>
      </c>
      <c r="AI7" s="8">
        <f>3-LN((D7-K7-L7-M7)/D7)/LN(1.5/8)</f>
        <v>2.5143017162337449</v>
      </c>
      <c r="AJ7" s="8">
        <f>3-LN((D7-K7-L7-M7-N7)/D7)/LN(0.625/8)</f>
        <v>2.5617914988418429</v>
      </c>
      <c r="AK7" s="8">
        <f>AVERAGE(AG7:AJ7)</f>
        <v>2.4052525061168586</v>
      </c>
      <c r="AL7" s="33"/>
    </row>
    <row r="8" spans="1:38" x14ac:dyDescent="0.4">
      <c r="A8" s="4"/>
      <c r="B8" s="6" t="s">
        <v>74</v>
      </c>
      <c r="C8" s="43"/>
      <c r="J8" s="40"/>
      <c r="N8" s="41"/>
      <c r="O8" s="40"/>
      <c r="P8" s="8">
        <f>U6</f>
        <v>0.17126253232782579</v>
      </c>
      <c r="Q8" s="8">
        <f>V6</f>
        <v>0.25933976569882222</v>
      </c>
      <c r="R8" s="8">
        <f>W6</f>
        <v>0.15039805229048264</v>
      </c>
      <c r="S8" s="8">
        <f>X6</f>
        <v>0.11538763038402951</v>
      </c>
      <c r="T8" s="8">
        <f>Y6</f>
        <v>0.30361201929883974</v>
      </c>
      <c r="Z8" s="8"/>
      <c r="AA8" s="8"/>
      <c r="AB8" s="8"/>
      <c r="AC8" s="8"/>
      <c r="AD8" s="27"/>
      <c r="AE8" s="8">
        <f>AF6</f>
        <v>2.3565614899148435</v>
      </c>
      <c r="AG8" s="8"/>
      <c r="AH8" s="8"/>
      <c r="AI8" s="8"/>
      <c r="AJ8" s="8"/>
      <c r="AK8" s="8"/>
      <c r="AL8" s="33"/>
    </row>
    <row r="9" spans="1:38" x14ac:dyDescent="0.4">
      <c r="A9" s="4" t="s">
        <v>17</v>
      </c>
      <c r="B9" s="6" t="s">
        <v>74</v>
      </c>
      <c r="C9" s="43" t="s">
        <v>18</v>
      </c>
      <c r="D9" s="3">
        <f>224.4+246.52</f>
        <v>470.92</v>
      </c>
      <c r="E9" s="3">
        <f>68.13+83.42</f>
        <v>151.55000000000001</v>
      </c>
      <c r="F9" s="3">
        <f>63.12+64.22</f>
        <v>127.34</v>
      </c>
      <c r="G9" s="3">
        <f>37.48+31.29</f>
        <v>68.77</v>
      </c>
      <c r="H9" s="3">
        <f>18.72+19.78</f>
        <v>38.5</v>
      </c>
      <c r="I9" s="3">
        <f>7.26+12.56</f>
        <v>19.82</v>
      </c>
      <c r="J9" s="40">
        <f>D9-E9-F9-G9-H9-I9</f>
        <v>64.94</v>
      </c>
      <c r="K9" s="3">
        <f>68.13+83.42</f>
        <v>151.55000000000001</v>
      </c>
      <c r="L9" s="3">
        <f>63.12+64.22</f>
        <v>127.34</v>
      </c>
      <c r="M9" s="3">
        <f>37.48+31.29</f>
        <v>68.77</v>
      </c>
      <c r="N9" s="41">
        <f>H9+I9</f>
        <v>58.32</v>
      </c>
      <c r="O9" s="40">
        <v>64.94</v>
      </c>
      <c r="P9" s="8">
        <f>K9/$D$9</f>
        <v>0.32181686910727936</v>
      </c>
      <c r="Q9" s="8">
        <f>L9/$D$9</f>
        <v>0.27040686316147117</v>
      </c>
      <c r="R9" s="8">
        <f>M9/$D$9</f>
        <v>0.14603329652594918</v>
      </c>
      <c r="S9" s="8">
        <f>N9/$D$9</f>
        <v>0.12384269090291344</v>
      </c>
      <c r="T9" s="8">
        <f>O9/$D$9</f>
        <v>0.1379002803023868</v>
      </c>
      <c r="U9" s="42">
        <f>AVERAGE(P9,P10)</f>
        <v>0.28958445558567686</v>
      </c>
      <c r="V9" s="8">
        <f>AVERAGE(Q9,Q10)</f>
        <v>0.26471248024789135</v>
      </c>
      <c r="W9" s="8">
        <f>AVERAGE(R9,R10)</f>
        <v>0.17346143916539572</v>
      </c>
      <c r="X9" s="8">
        <f>AVERAGE(S9,S10)</f>
        <v>0.15783416032061789</v>
      </c>
      <c r="Y9" s="27">
        <f>AVERAGE(T9,T10)</f>
        <v>0.11440746468041815</v>
      </c>
      <c r="Z9" s="8">
        <f>Z$2*P9</f>
        <v>2.0918096491973159</v>
      </c>
      <c r="AA9" s="8">
        <f t="shared" ref="AA9:AD10" si="1">+AA$2*Q9</f>
        <v>0.94642402106514911</v>
      </c>
      <c r="AB9" s="8">
        <f t="shared" si="1"/>
        <v>0.21904994478892376</v>
      </c>
      <c r="AC9" s="8">
        <f t="shared" si="1"/>
        <v>7.7401681814320902E-2</v>
      </c>
      <c r="AD9" s="27">
        <f t="shared" si="1"/>
        <v>1.723753503779835E-2</v>
      </c>
      <c r="AE9" s="8">
        <f>SUM(Z9:AD9)</f>
        <v>3.3519228319035079</v>
      </c>
      <c r="AF9" s="22">
        <f>AVERAGE(AE9,AE10)</f>
        <v>3.1819320842080514</v>
      </c>
      <c r="AG9" s="8">
        <f>3-LN((D9-K9)/D9)/LN(6.5/8)</f>
        <v>1.129748068885613</v>
      </c>
      <c r="AH9" s="8">
        <f>3-LN((D9-E9-F9)/D9)/LN(3.5/8)</f>
        <v>1.9148906872806941</v>
      </c>
      <c r="AI9" s="8">
        <f>3-LN((D9-K9-L9-M9)/D9)/LN(1.5/8)</f>
        <v>2.1992764917150134</v>
      </c>
      <c r="AJ9" s="8">
        <f>3-LN((D9-K9-L9-M9-N9)/D9)/LN(0.625/8)</f>
        <v>2.2228801450097411</v>
      </c>
      <c r="AK9" s="8">
        <f>AVERAGE(AG9:AJ9)</f>
        <v>1.8666988482227653</v>
      </c>
      <c r="AL9" s="22">
        <f>AVERAGE(AK9,AK10)</f>
        <v>1.9324956510434996</v>
      </c>
    </row>
    <row r="10" spans="1:38" x14ac:dyDescent="0.4">
      <c r="A10" s="4" t="s">
        <v>19</v>
      </c>
      <c r="B10" s="6" t="s">
        <v>74</v>
      </c>
      <c r="C10" s="43" t="s">
        <v>18</v>
      </c>
      <c r="D10" s="3">
        <f>228.23+213+213.01</f>
        <v>654.24</v>
      </c>
      <c r="E10" s="3">
        <f>78.7+48.7+40.97</f>
        <v>168.37</v>
      </c>
      <c r="F10" s="3">
        <f>69.27+52.18+48.01</f>
        <v>169.45999999999998</v>
      </c>
      <c r="G10" s="3">
        <f>39.33+47.81+44.29</f>
        <v>131.43</v>
      </c>
      <c r="H10" s="3">
        <f>19.6+34.72+34.89</f>
        <v>89.210000000000008</v>
      </c>
      <c r="I10" s="3">
        <f>5.2+12.06+19.03</f>
        <v>36.290000000000006</v>
      </c>
      <c r="J10" s="40">
        <f>D10-E10-F10-G10-H10-I10</f>
        <v>59.480000000000004</v>
      </c>
      <c r="K10" s="3">
        <f>78.7+48.7+40.97</f>
        <v>168.37</v>
      </c>
      <c r="L10" s="3">
        <f>69.27+52.18+48.01</f>
        <v>169.45999999999998</v>
      </c>
      <c r="M10" s="3">
        <f>39.33+47.81+44.29</f>
        <v>131.43</v>
      </c>
      <c r="N10" s="41">
        <f>H10+I10</f>
        <v>125.50000000000001</v>
      </c>
      <c r="O10" s="40">
        <v>59.48</v>
      </c>
      <c r="P10" s="8">
        <f>K10/$D$10</f>
        <v>0.25735204206407436</v>
      </c>
      <c r="Q10" s="8">
        <f>L10/$D$10</f>
        <v>0.25901809733431153</v>
      </c>
      <c r="R10" s="8">
        <f>M10/$D$10</f>
        <v>0.20088958180484226</v>
      </c>
      <c r="S10" s="8">
        <f>N10/$D$10</f>
        <v>0.19182562973832235</v>
      </c>
      <c r="T10" s="8">
        <f>O10/$D$10</f>
        <v>9.0914649058449495E-2</v>
      </c>
      <c r="Z10" s="8">
        <f>Z$2*P10</f>
        <v>1.6727882734164834</v>
      </c>
      <c r="AA10" s="8">
        <f t="shared" si="1"/>
        <v>0.90656334067009037</v>
      </c>
      <c r="AB10" s="8">
        <f t="shared" si="1"/>
        <v>0.30133437270726338</v>
      </c>
      <c r="AC10" s="8">
        <f t="shared" si="1"/>
        <v>0.11989101858645146</v>
      </c>
      <c r="AD10" s="27">
        <f t="shared" si="1"/>
        <v>1.1364331132306187E-2</v>
      </c>
      <c r="AE10" s="8">
        <f>SUM(Z10:AD10)</f>
        <v>3.0119413365125949</v>
      </c>
      <c r="AG10" s="8">
        <f>3-LN((D10-K10)/D10)/LN(6.5/8)</f>
        <v>1.5670676727060535</v>
      </c>
      <c r="AH10" s="8">
        <f>3-LN((D10-E10-F10)/D10)/LN(3.5/8)</f>
        <v>2.1212601375872358</v>
      </c>
      <c r="AI10" s="8">
        <f>3-LN((D10-K10-L10-M10)/D10)/LN(1.5/8)</f>
        <v>2.2453737578641171</v>
      </c>
      <c r="AJ10" s="8">
        <f>3-LN((D10-K10-L10-M10-N10)/D10)/LN(0.625/8)</f>
        <v>2.0594682472995296</v>
      </c>
      <c r="AK10" s="8">
        <f>AVERAGE(AG10:AJ10)</f>
        <v>1.9982924538642339</v>
      </c>
      <c r="AL10" s="33"/>
    </row>
    <row r="11" spans="1:38" x14ac:dyDescent="0.4">
      <c r="B11" s="6" t="s">
        <v>74</v>
      </c>
      <c r="P11" s="8">
        <f>U9</f>
        <v>0.28958445558567686</v>
      </c>
      <c r="Q11" s="8">
        <f>V9</f>
        <v>0.26471248024789135</v>
      </c>
      <c r="R11" s="8">
        <f>W9</f>
        <v>0.17346143916539572</v>
      </c>
      <c r="S11" s="8">
        <f>X9</f>
        <v>0.15783416032061789</v>
      </c>
      <c r="T11" s="8">
        <f>Y9</f>
        <v>0.11440746468041815</v>
      </c>
      <c r="AE11" s="8">
        <f>AF9</f>
        <v>3.1819320842080514</v>
      </c>
    </row>
    <row r="12" spans="1:38" x14ac:dyDescent="0.4">
      <c r="A12" s="4" t="s">
        <v>20</v>
      </c>
      <c r="B12" s="6" t="s">
        <v>76</v>
      </c>
      <c r="C12" s="39" t="s">
        <v>11</v>
      </c>
      <c r="D12" s="3">
        <f>207.59+212.35+223.4</f>
        <v>643.34</v>
      </c>
      <c r="E12" s="3">
        <f>34.79+29.27+24.9</f>
        <v>88.960000000000008</v>
      </c>
      <c r="F12" s="3">
        <v>172.22</v>
      </c>
      <c r="G12" s="3">
        <f>43.14+38.74+47.24</f>
        <v>129.12</v>
      </c>
      <c r="H12" s="3">
        <v>77.61</v>
      </c>
      <c r="I12" s="3">
        <f>9.85+14.38+13.94</f>
        <v>38.17</v>
      </c>
      <c r="J12" s="40">
        <f t="shared" ref="J12:J20" si="2">D12-E12-F12-G12-H12-I12</f>
        <v>137.25999999999993</v>
      </c>
      <c r="K12" s="3">
        <f>34.79+29.27+24.9</f>
        <v>88.960000000000008</v>
      </c>
      <c r="L12" s="3">
        <v>172.22</v>
      </c>
      <c r="M12" s="3">
        <f>43.14+38.74+47.24</f>
        <v>129.12</v>
      </c>
      <c r="N12" s="41">
        <f t="shared" ref="N12:N17" si="3">H12+I12</f>
        <v>115.78</v>
      </c>
      <c r="O12" s="40">
        <v>137.26</v>
      </c>
      <c r="P12" s="8">
        <f>K12/$D$12</f>
        <v>0.1382783598097429</v>
      </c>
      <c r="Q12" s="8">
        <f>L12/$D$12</f>
        <v>0.26769670780613669</v>
      </c>
      <c r="R12" s="8">
        <f>M12/$D$12</f>
        <v>0.20070258339291822</v>
      </c>
      <c r="S12" s="8">
        <f>N12/$D$12</f>
        <v>0.17996704697360649</v>
      </c>
      <c r="T12" s="8">
        <f>O12/$D$12</f>
        <v>0.21335530201759564</v>
      </c>
      <c r="U12" s="42">
        <f>AVERAGE(P12,P13,P14)</f>
        <v>0.158363932311511</v>
      </c>
      <c r="V12" s="8">
        <f>AVERAGE(Q12,Q13,Q14)</f>
        <v>0.26845674646034184</v>
      </c>
      <c r="W12" s="8">
        <f>AVERAGE(R12,R13,R14)</f>
        <v>0.20666793112951332</v>
      </c>
      <c r="X12" s="8">
        <f>AVERAGE(S12,S13,S14)</f>
        <v>0.1775207494589347</v>
      </c>
      <c r="Y12" s="27">
        <f>AVERAGE(T12,T13,T14)</f>
        <v>0.18899064063969914</v>
      </c>
      <c r="Z12" s="8">
        <f t="shared" ref="Z12:Z20" si="4">Z$2*P12</f>
        <v>0.89880933876332891</v>
      </c>
      <c r="AA12" s="8">
        <f t="shared" ref="AA12:AD20" si="5">+AA$2*Q12</f>
        <v>0.93693847732147839</v>
      </c>
      <c r="AB12" s="8">
        <f t="shared" si="5"/>
        <v>0.30105387508937731</v>
      </c>
      <c r="AC12" s="8">
        <f t="shared" si="5"/>
        <v>0.11247940435850406</v>
      </c>
      <c r="AD12" s="27">
        <f t="shared" si="5"/>
        <v>2.6669412752199455E-2</v>
      </c>
      <c r="AE12" s="8">
        <f t="shared" ref="AE12:AE20" si="6">SUM(Z12:AD12)</f>
        <v>2.2759505082848883</v>
      </c>
      <c r="AF12" s="22">
        <f>AVERAGE(AE12,AE13,AE14)</f>
        <v>2.4135403678220846</v>
      </c>
      <c r="AG12" s="8">
        <f t="shared" ref="AG12:AG20" si="7">3-LN((D12-K12)/D12)/LN(6.5/8)</f>
        <v>2.2832621895107819</v>
      </c>
      <c r="AH12" s="8">
        <f t="shared" ref="AH12:AH20" si="8">3-LN((D12-E12-F12)/D12)/LN(3.5/8)</f>
        <v>2.3699679613281779</v>
      </c>
      <c r="AI12" s="8">
        <f t="shared" ref="AI12:AI20" si="9">3-LN((D12-K12-L12-M12)/D12)/LN(1.5/8)</f>
        <v>2.4425693467601111</v>
      </c>
      <c r="AJ12" s="8">
        <f t="shared" ref="AJ12:AJ20" si="10">3-LN((D12-K12-L12-M12-N12)/D12)/LN(0.625/8)</f>
        <v>2.39406564376903</v>
      </c>
      <c r="AK12" s="8">
        <f t="shared" ref="AK12:AK20" si="11">AVERAGE(AG12:AJ12)</f>
        <v>2.3724662853420253</v>
      </c>
      <c r="AL12" s="22">
        <f>AVERAGE(AK12,AK13,AK14)</f>
        <v>2.3087776029611629</v>
      </c>
    </row>
    <row r="13" spans="1:38" x14ac:dyDescent="0.4">
      <c r="A13" s="4" t="s">
        <v>21</v>
      </c>
      <c r="B13" s="6" t="s">
        <v>76</v>
      </c>
      <c r="C13" s="39" t="s">
        <v>11</v>
      </c>
      <c r="D13" s="3">
        <f>212.13+163.05+270.77</f>
        <v>645.95000000000005</v>
      </c>
      <c r="E13" s="3">
        <f>35+25.09+35.96</f>
        <v>96.050000000000011</v>
      </c>
      <c r="F13" s="3">
        <f>75.69+47.83+62.42</f>
        <v>185.94</v>
      </c>
      <c r="G13" s="3">
        <f>50.29+39.23+59.66</f>
        <v>149.18</v>
      </c>
      <c r="H13" s="3">
        <f>21.18+20.53+40.33</f>
        <v>82.039999999999992</v>
      </c>
      <c r="I13" s="3">
        <f>6.78+9.02+20.52</f>
        <v>36.32</v>
      </c>
      <c r="J13" s="40">
        <f t="shared" si="2"/>
        <v>96.420000000000101</v>
      </c>
      <c r="K13" s="3">
        <f>35+25.09+35.96</f>
        <v>96.050000000000011</v>
      </c>
      <c r="L13" s="3">
        <f>75.69+47.83+62.42</f>
        <v>185.94</v>
      </c>
      <c r="M13" s="3">
        <f>50.29+39.23+59.66</f>
        <v>149.18</v>
      </c>
      <c r="N13" s="41">
        <f t="shared" si="3"/>
        <v>118.35999999999999</v>
      </c>
      <c r="O13" s="40">
        <v>96.420000000000101</v>
      </c>
      <c r="P13" s="8">
        <f>K13/$D$13</f>
        <v>0.14869571948293211</v>
      </c>
      <c r="Q13" s="8">
        <f>L13/$D$13</f>
        <v>0.28785509714374174</v>
      </c>
      <c r="R13" s="8">
        <f>M13/$D$13</f>
        <v>0.23094666769873828</v>
      </c>
      <c r="S13" s="8">
        <f>N13/$D$13</f>
        <v>0.18323399643935284</v>
      </c>
      <c r="T13" s="8">
        <f>O13/$D$13</f>
        <v>0.14926851923523507</v>
      </c>
      <c r="Z13" s="8">
        <f t="shared" si="4"/>
        <v>0.96652217663905871</v>
      </c>
      <c r="AA13" s="8">
        <f t="shared" si="5"/>
        <v>1.007492840003096</v>
      </c>
      <c r="AB13" s="8">
        <f t="shared" si="5"/>
        <v>0.34642000154810743</v>
      </c>
      <c r="AC13" s="8">
        <f t="shared" si="5"/>
        <v>0.11452124777459552</v>
      </c>
      <c r="AD13" s="27">
        <f t="shared" si="5"/>
        <v>1.8658564904404384E-2</v>
      </c>
      <c r="AE13" s="8">
        <f t="shared" si="6"/>
        <v>2.4536148308692622</v>
      </c>
      <c r="AG13" s="8">
        <f t="shared" si="7"/>
        <v>2.224686233920667</v>
      </c>
      <c r="AH13" s="8">
        <f t="shared" si="8"/>
        <v>2.30604451533328</v>
      </c>
      <c r="AI13" s="8">
        <f t="shared" si="9"/>
        <v>2.3422202183415055</v>
      </c>
      <c r="AJ13" s="8">
        <f t="shared" si="10"/>
        <v>2.2539520072368089</v>
      </c>
      <c r="AK13" s="8">
        <f t="shared" si="11"/>
        <v>2.2817257437080651</v>
      </c>
      <c r="AL13" s="33"/>
    </row>
    <row r="14" spans="1:38" x14ac:dyDescent="0.4">
      <c r="A14" s="4" t="s">
        <v>22</v>
      </c>
      <c r="B14" s="6" t="s">
        <v>76</v>
      </c>
      <c r="C14" s="39" t="s">
        <v>11</v>
      </c>
      <c r="D14" s="3">
        <f>205.19+185.42+242.77</f>
        <v>633.38</v>
      </c>
      <c r="E14" s="3">
        <f>58.77+33.69+26.69</f>
        <v>119.15</v>
      </c>
      <c r="F14" s="3">
        <f>59.34+42.14+56.75</f>
        <v>158.23000000000002</v>
      </c>
      <c r="G14" s="3">
        <f>29.59+38.19+51.52</f>
        <v>119.30000000000001</v>
      </c>
      <c r="H14" s="3">
        <f>12.42+26.63+33.44</f>
        <v>72.489999999999995</v>
      </c>
      <c r="I14" s="3">
        <f>5.44+11.5+17.84</f>
        <v>34.78</v>
      </c>
      <c r="J14" s="40">
        <f t="shared" si="2"/>
        <v>129.42999999999998</v>
      </c>
      <c r="K14" s="3">
        <f>58.77+33.69+26.69</f>
        <v>119.15</v>
      </c>
      <c r="L14" s="3">
        <f>59.34+42.14+56.75</f>
        <v>158.23000000000002</v>
      </c>
      <c r="M14" s="3">
        <f>29.59+38.19+51.52</f>
        <v>119.30000000000001</v>
      </c>
      <c r="N14" s="41">
        <f t="shared" si="3"/>
        <v>107.27</v>
      </c>
      <c r="O14" s="40">
        <v>129.43</v>
      </c>
      <c r="P14" s="8">
        <f>K14/$D$14</f>
        <v>0.18811771764185797</v>
      </c>
      <c r="Q14" s="8">
        <f>L14/$D$14</f>
        <v>0.24981843443114721</v>
      </c>
      <c r="R14" s="8">
        <f>M14/$D$14</f>
        <v>0.18835454229688342</v>
      </c>
      <c r="S14" s="8">
        <f>N14/$D$14</f>
        <v>0.16936120496384477</v>
      </c>
      <c r="T14" s="8">
        <f>O14/$D$14</f>
        <v>0.20434810066626671</v>
      </c>
      <c r="Z14" s="8">
        <f t="shared" si="4"/>
        <v>1.2227651646720767</v>
      </c>
      <c r="AA14" s="8">
        <f t="shared" si="5"/>
        <v>0.87436452050901525</v>
      </c>
      <c r="AB14" s="8">
        <f t="shared" si="5"/>
        <v>0.28253181344532513</v>
      </c>
      <c r="AC14" s="8">
        <f t="shared" si="5"/>
        <v>0.10585075310240298</v>
      </c>
      <c r="AD14" s="27">
        <f t="shared" si="5"/>
        <v>2.5543512583283339E-2</v>
      </c>
      <c r="AE14" s="8">
        <f t="shared" si="6"/>
        <v>2.5110557643121032</v>
      </c>
      <c r="AG14" s="8">
        <f t="shared" si="7"/>
        <v>1.9963371251020117</v>
      </c>
      <c r="AH14" s="8">
        <f t="shared" si="8"/>
        <v>2.3030666986915991</v>
      </c>
      <c r="AI14" s="8">
        <f t="shared" si="9"/>
        <v>2.4120126056002089</v>
      </c>
      <c r="AJ14" s="8">
        <f t="shared" si="10"/>
        <v>2.3771466899397731</v>
      </c>
      <c r="AK14" s="8">
        <f t="shared" si="11"/>
        <v>2.2721407798333981</v>
      </c>
      <c r="AL14" s="33"/>
    </row>
    <row r="15" spans="1:38" x14ac:dyDescent="0.4">
      <c r="A15" s="4" t="s">
        <v>23</v>
      </c>
      <c r="B15" s="6" t="s">
        <v>76</v>
      </c>
      <c r="C15" s="43" t="s">
        <v>15</v>
      </c>
      <c r="D15" s="3">
        <f>253.38+269.55+163.98</f>
        <v>686.91000000000008</v>
      </c>
      <c r="E15" s="3">
        <f>38.98+24.82+2.98</f>
        <v>66.78</v>
      </c>
      <c r="F15" s="3">
        <f>82.16+70.54+25.38</f>
        <v>178.07999999999998</v>
      </c>
      <c r="G15" s="3">
        <f>43.02+54.5+28.31</f>
        <v>125.83000000000001</v>
      </c>
      <c r="H15" s="3">
        <f>15.18+28.63+21.67</f>
        <v>65.48</v>
      </c>
      <c r="I15" s="3">
        <f>4.5+12.47+15.5</f>
        <v>32.47</v>
      </c>
      <c r="J15" s="40">
        <f t="shared" si="2"/>
        <v>218.27000000000012</v>
      </c>
      <c r="K15" s="3">
        <f>38.98+24.82+2.98</f>
        <v>66.78</v>
      </c>
      <c r="L15" s="3">
        <f>82.16+70.54+25.38</f>
        <v>178.07999999999998</v>
      </c>
      <c r="M15" s="3">
        <f>43.02+54.5+28.31</f>
        <v>125.83000000000001</v>
      </c>
      <c r="N15" s="41">
        <f t="shared" si="3"/>
        <v>97.95</v>
      </c>
      <c r="O15" s="40">
        <v>218.27</v>
      </c>
      <c r="P15" s="8">
        <f>K15/$D$15</f>
        <v>9.7217976154081315E-2</v>
      </c>
      <c r="Q15" s="8">
        <f>L15/$D$15</f>
        <v>0.25924793641088345</v>
      </c>
      <c r="R15" s="8">
        <f>M15/$D$15</f>
        <v>0.18318265857244762</v>
      </c>
      <c r="S15" s="8">
        <f>N15/$D$15</f>
        <v>0.14259509979473292</v>
      </c>
      <c r="T15" s="8">
        <f>O15/$D$15</f>
        <v>0.31775632906785456</v>
      </c>
      <c r="U15" s="42">
        <f>AVERAGE(P15,P16,P17)</f>
        <v>0.10775088991462602</v>
      </c>
      <c r="V15" s="8">
        <f>AVERAGE(Q15,Q16,Q17)</f>
        <v>0.28958904151159065</v>
      </c>
      <c r="W15" s="8">
        <f>AVERAGE(R15,R16,R17)</f>
        <v>0.19585190116767856</v>
      </c>
      <c r="X15" s="8">
        <f>AVERAGE(S15,S16,S17)</f>
        <v>0.14713228634405287</v>
      </c>
      <c r="Y15" s="27">
        <f>AVERAGE(T15,T16,T17)</f>
        <v>0.25967588106205186</v>
      </c>
      <c r="Z15" s="8">
        <f t="shared" si="4"/>
        <v>0.63191684500152856</v>
      </c>
      <c r="AA15" s="8">
        <f t="shared" si="5"/>
        <v>0.90736777743809205</v>
      </c>
      <c r="AB15" s="8">
        <f t="shared" si="5"/>
        <v>0.27477398785867141</v>
      </c>
      <c r="AC15" s="8">
        <f t="shared" si="5"/>
        <v>8.9121937371708079E-2</v>
      </c>
      <c r="AD15" s="27">
        <f t="shared" si="5"/>
        <v>3.971954113348182E-2</v>
      </c>
      <c r="AE15" s="8">
        <f t="shared" si="6"/>
        <v>1.942900088803482</v>
      </c>
      <c r="AF15" s="22">
        <f>AVERAGE(AE15,AE16,AE17)</f>
        <v>2.1321374455849438</v>
      </c>
      <c r="AG15" s="8">
        <f t="shared" si="7"/>
        <v>2.5074433698846637</v>
      </c>
      <c r="AH15" s="8">
        <f t="shared" si="8"/>
        <v>2.4668057262885599</v>
      </c>
      <c r="AI15" s="8">
        <f t="shared" si="9"/>
        <v>2.5365734607526651</v>
      </c>
      <c r="AJ15" s="8">
        <f t="shared" si="10"/>
        <v>2.5503059003592909</v>
      </c>
      <c r="AK15" s="8">
        <f t="shared" si="11"/>
        <v>2.5152821143212947</v>
      </c>
      <c r="AL15" s="22">
        <f>AVERAGE(AK15,AK16,AK17)</f>
        <v>2.4403299458664667</v>
      </c>
    </row>
    <row r="16" spans="1:38" x14ac:dyDescent="0.4">
      <c r="A16" s="4" t="s">
        <v>24</v>
      </c>
      <c r="B16" s="6" t="s">
        <v>76</v>
      </c>
      <c r="C16" s="43" t="s">
        <v>15</v>
      </c>
      <c r="D16" s="3">
        <f>197.37+204.68+226.12</f>
        <v>628.17000000000007</v>
      </c>
      <c r="E16" s="3">
        <f>22.67+25.64+28.99</f>
        <v>77.3</v>
      </c>
      <c r="F16" s="3">
        <f>63.66+56.59+61.26</f>
        <v>181.51</v>
      </c>
      <c r="G16" s="3">
        <f>41.1+36.34+39.35</f>
        <v>116.78999999999999</v>
      </c>
      <c r="H16" s="3">
        <f>20.25+20.3+22.46</f>
        <v>63.01</v>
      </c>
      <c r="I16" s="3">
        <f>8.38+10.72+11.09</f>
        <v>30.19</v>
      </c>
      <c r="J16" s="40">
        <f t="shared" si="2"/>
        <v>159.37000000000015</v>
      </c>
      <c r="K16" s="3">
        <f>22.67+25.64+28.99</f>
        <v>77.3</v>
      </c>
      <c r="L16" s="3">
        <f>63.66+56.59+61.26</f>
        <v>181.51</v>
      </c>
      <c r="M16" s="3">
        <f>41.1+36.34+39.35</f>
        <v>116.78999999999999</v>
      </c>
      <c r="N16" s="41">
        <f t="shared" si="3"/>
        <v>93.2</v>
      </c>
      <c r="O16" s="40">
        <v>159.37</v>
      </c>
      <c r="P16" s="8">
        <f>K16/$D$16</f>
        <v>0.12305586067465811</v>
      </c>
      <c r="Q16" s="8">
        <f>L16/$D$16</f>
        <v>0.28895044335132203</v>
      </c>
      <c r="R16" s="8">
        <f>M16/$D$16</f>
        <v>0.18592100864415681</v>
      </c>
      <c r="S16" s="8">
        <f>N16/$D$16</f>
        <v>0.14836748014072623</v>
      </c>
      <c r="T16" s="8">
        <f>O16/$D$16</f>
        <v>0.25370520718913669</v>
      </c>
      <c r="Z16" s="8">
        <f t="shared" si="4"/>
        <v>0.7998630943852777</v>
      </c>
      <c r="AA16" s="8">
        <f t="shared" si="5"/>
        <v>1.011326551729627</v>
      </c>
      <c r="AB16" s="8">
        <f t="shared" si="5"/>
        <v>0.2788815129662352</v>
      </c>
      <c r="AC16" s="8">
        <f t="shared" si="5"/>
        <v>9.2729675087953892E-2</v>
      </c>
      <c r="AD16" s="27">
        <f t="shared" si="5"/>
        <v>3.1713150898642087E-2</v>
      </c>
      <c r="AE16" s="8">
        <f t="shared" si="6"/>
        <v>2.214513985067736</v>
      </c>
      <c r="AG16" s="8">
        <f t="shared" si="7"/>
        <v>2.3675959086039993</v>
      </c>
      <c r="AH16" s="8">
        <f t="shared" si="8"/>
        <v>2.3576233018499888</v>
      </c>
      <c r="AI16" s="8">
        <f t="shared" si="9"/>
        <v>2.4557137279939836</v>
      </c>
      <c r="AJ16" s="8">
        <f t="shared" si="10"/>
        <v>2.462007536681857</v>
      </c>
      <c r="AK16" s="8">
        <f t="shared" si="11"/>
        <v>2.4107351187824571</v>
      </c>
      <c r="AL16" s="33"/>
    </row>
    <row r="17" spans="1:38" x14ac:dyDescent="0.4">
      <c r="A17" s="4" t="s">
        <v>25</v>
      </c>
      <c r="B17" s="6" t="s">
        <v>76</v>
      </c>
      <c r="C17" s="43" t="s">
        <v>15</v>
      </c>
      <c r="D17" s="3">
        <f>168.16+188.29+183.44+237.26</f>
        <v>777.15</v>
      </c>
      <c r="E17" s="3">
        <f>19.82+22.85+18.29+19.07</f>
        <v>80.03</v>
      </c>
      <c r="F17" s="3">
        <f>64.12+63.98+63.27+57.76</f>
        <v>249.13</v>
      </c>
      <c r="G17" s="3">
        <f>36.53+41.33+46.27+45.64</f>
        <v>169.76999999999998</v>
      </c>
      <c r="H17" s="3">
        <f>12.69+20.07+18.74+29.52</f>
        <v>81.02</v>
      </c>
      <c r="I17" s="3">
        <f>3.84+7.65+6.29+18.11</f>
        <v>35.89</v>
      </c>
      <c r="J17" s="40">
        <f t="shared" si="2"/>
        <v>161.31000000000006</v>
      </c>
      <c r="K17" s="3">
        <f>19.82+22.85+18.29+19.07</f>
        <v>80.03</v>
      </c>
      <c r="L17" s="3">
        <f>64.12+63.98+63.27+57.76</f>
        <v>249.13</v>
      </c>
      <c r="M17" s="3">
        <f>36.53+41.33+46.27+45.64</f>
        <v>169.76999999999998</v>
      </c>
      <c r="N17" s="41">
        <f t="shared" si="3"/>
        <v>116.91</v>
      </c>
      <c r="O17" s="40">
        <v>161.31</v>
      </c>
      <c r="P17" s="8">
        <f>K17/$D$17</f>
        <v>0.10297883291513865</v>
      </c>
      <c r="Q17" s="8">
        <f>L17/$D$17</f>
        <v>0.32056874477256642</v>
      </c>
      <c r="R17" s="8">
        <f>M17/$D$17</f>
        <v>0.21845203628643117</v>
      </c>
      <c r="S17" s="8">
        <f>N17/$D$17</f>
        <v>0.15043427909669949</v>
      </c>
      <c r="T17" s="8">
        <f>O17/$D$17</f>
        <v>0.20756610692916427</v>
      </c>
      <c r="Z17" s="8">
        <f t="shared" si="4"/>
        <v>0.66936241394840124</v>
      </c>
      <c r="AA17" s="8">
        <f t="shared" si="5"/>
        <v>1.1219906067039824</v>
      </c>
      <c r="AB17" s="8">
        <f t="shared" si="5"/>
        <v>0.32767805442964676</v>
      </c>
      <c r="AC17" s="8">
        <f t="shared" si="5"/>
        <v>9.4021424435437179E-2</v>
      </c>
      <c r="AD17" s="27">
        <f t="shared" si="5"/>
        <v>2.5945763366145534E-2</v>
      </c>
      <c r="AE17" s="8">
        <f t="shared" si="6"/>
        <v>2.2389982628836131</v>
      </c>
      <c r="AG17" s="8">
        <f t="shared" si="7"/>
        <v>2.4766126371276513</v>
      </c>
      <c r="AH17" s="8">
        <f t="shared" si="8"/>
        <v>2.3336437049896799</v>
      </c>
      <c r="AI17" s="8">
        <f t="shared" si="9"/>
        <v>2.3863586167065942</v>
      </c>
      <c r="AJ17" s="8">
        <f t="shared" si="10"/>
        <v>2.3832754591586736</v>
      </c>
      <c r="AK17" s="8">
        <f t="shared" si="11"/>
        <v>2.3949726044956496</v>
      </c>
      <c r="AL17" s="33"/>
    </row>
    <row r="18" spans="1:38" x14ac:dyDescent="0.4">
      <c r="A18" s="4" t="s">
        <v>26</v>
      </c>
      <c r="B18" s="6" t="s">
        <v>76</v>
      </c>
      <c r="C18" s="43" t="s">
        <v>18</v>
      </c>
      <c r="D18" s="3">
        <f>196.47+163.11+268.7</f>
        <v>628.28</v>
      </c>
      <c r="E18" s="3">
        <f>54.64+44.76+34.68</f>
        <v>134.08000000000001</v>
      </c>
      <c r="F18" s="3">
        <f>61.28+46.32+49.85</f>
        <v>157.44999999999999</v>
      </c>
      <c r="G18" s="3">
        <v>94.719999999999942</v>
      </c>
      <c r="H18" s="3">
        <f>7.23+9.09+29.46</f>
        <v>45.78</v>
      </c>
      <c r="I18" s="3">
        <f>1.73+2.31+15.21</f>
        <v>19.25</v>
      </c>
      <c r="J18" s="40">
        <f t="shared" si="2"/>
        <v>177</v>
      </c>
      <c r="K18" s="3">
        <f>54.64+44.76+34.68</f>
        <v>134.08000000000001</v>
      </c>
      <c r="L18" s="3">
        <f>61.28+46.32+49.85</f>
        <v>157.44999999999999</v>
      </c>
      <c r="M18" s="3">
        <f>94.7199999999999+15</f>
        <v>109.7199999999999</v>
      </c>
      <c r="N18" s="41">
        <f>H18+I18+30</f>
        <v>95.03</v>
      </c>
      <c r="O18" s="40">
        <f>177-30-15</f>
        <v>132</v>
      </c>
      <c r="P18" s="8">
        <f>K18/$D$18</f>
        <v>0.21340803463423955</v>
      </c>
      <c r="Q18" s="8">
        <f>L18/$D$18</f>
        <v>0.25060482587381422</v>
      </c>
      <c r="R18" s="8">
        <f>M18/$D$18</f>
        <v>0.17463551282867495</v>
      </c>
      <c r="S18" s="8">
        <f>N18/$D$18</f>
        <v>0.15125421786464635</v>
      </c>
      <c r="T18" s="8">
        <f>O18/$D$18</f>
        <v>0.21009740879862482</v>
      </c>
      <c r="U18" s="42">
        <f>AVERAGE(P18,P19,P20)</f>
        <v>0.2116025386124111</v>
      </c>
      <c r="V18" s="8">
        <f>AVERAGE(Q18,Q19,Q20)</f>
        <v>0.27962142332946099</v>
      </c>
      <c r="W18" s="8">
        <f>AVERAGE(R18,R19,R20)</f>
        <v>0.17711870093545254</v>
      </c>
      <c r="X18" s="8">
        <f>AVERAGE(S18,S19,S20)</f>
        <v>0.15114262042358054</v>
      </c>
      <c r="Y18" s="27">
        <f>AVERAGE(T18,T19,T20)</f>
        <v>0.18051471669909472</v>
      </c>
      <c r="Z18" s="8">
        <f t="shared" si="4"/>
        <v>1.387152225122557</v>
      </c>
      <c r="AA18" s="8">
        <f t="shared" si="5"/>
        <v>0.87711689055834974</v>
      </c>
      <c r="AB18" s="8">
        <f t="shared" si="5"/>
        <v>0.26195326924301243</v>
      </c>
      <c r="AC18" s="8">
        <f t="shared" si="5"/>
        <v>9.4533886165403966E-2</v>
      </c>
      <c r="AD18" s="27">
        <f t="shared" si="5"/>
        <v>2.6262176099828102E-2</v>
      </c>
      <c r="AE18" s="8">
        <f t="shared" si="6"/>
        <v>2.6470184471891511</v>
      </c>
      <c r="AF18" s="22">
        <f>AVERAGE(AE18,AE19,AE20)</f>
        <v>2.7367980113890891</v>
      </c>
      <c r="AG18" s="8">
        <f t="shared" si="7"/>
        <v>1.8439300338031426</v>
      </c>
      <c r="AH18" s="8">
        <f t="shared" si="8"/>
        <v>2.2456014563411264</v>
      </c>
      <c r="AI18" s="8">
        <f t="shared" si="9"/>
        <v>2.3919246775395444</v>
      </c>
      <c r="AJ18" s="8">
        <f t="shared" si="10"/>
        <v>2.3880299830797935</v>
      </c>
      <c r="AK18" s="8">
        <f t="shared" si="11"/>
        <v>2.2173715376909016</v>
      </c>
      <c r="AL18" s="22">
        <f>AVERAGE(AK18,AK19,AK20)</f>
        <v>2.1752804025885575</v>
      </c>
    </row>
    <row r="19" spans="1:38" x14ac:dyDescent="0.4">
      <c r="A19" s="4" t="s">
        <v>27</v>
      </c>
      <c r="B19" s="6" t="s">
        <v>76</v>
      </c>
      <c r="C19" s="43" t="s">
        <v>18</v>
      </c>
      <c r="D19" s="3">
        <f>202.53+190.52+214.81</f>
        <v>607.86</v>
      </c>
      <c r="E19" s="3">
        <f>64.03+44.52+28.39</f>
        <v>136.94</v>
      </c>
      <c r="F19" s="3">
        <f>64.69+54.8+47.53</f>
        <v>167.01999999999998</v>
      </c>
      <c r="G19" s="3">
        <f>34.01+40.4+45.16</f>
        <v>119.57</v>
      </c>
      <c r="H19" s="3">
        <f>21.96+29.34+41.59</f>
        <v>92.89</v>
      </c>
      <c r="I19" s="3">
        <f>6.28+8.58+25.36</f>
        <v>40.22</v>
      </c>
      <c r="J19" s="40">
        <f t="shared" si="2"/>
        <v>51.220000000000041</v>
      </c>
      <c r="K19" s="3">
        <f>64.03+44.52+28.39</f>
        <v>136.94</v>
      </c>
      <c r="L19" s="3">
        <f>64.69+54.8+47.53</f>
        <v>167.01999999999998</v>
      </c>
      <c r="M19" s="3">
        <f>34.01+40.4+45.16-15</f>
        <v>104.57</v>
      </c>
      <c r="N19" s="41">
        <f>H19+I19-30</f>
        <v>103.11000000000001</v>
      </c>
      <c r="O19" s="40">
        <f>51.22+30+15</f>
        <v>96.22</v>
      </c>
      <c r="P19" s="8">
        <f>K19/$D$19</f>
        <v>0.22528213733425459</v>
      </c>
      <c r="Q19" s="8">
        <f>L19/$D$19</f>
        <v>0.27476721613529426</v>
      </c>
      <c r="R19" s="8">
        <f>M19/$D$19</f>
        <v>0.17202974369098145</v>
      </c>
      <c r="S19" s="8">
        <f>N19/$D$19</f>
        <v>0.16962787483960123</v>
      </c>
      <c r="T19" s="8">
        <f>O19/$D$19</f>
        <v>0.15829302799986839</v>
      </c>
      <c r="Z19" s="8">
        <f t="shared" si="4"/>
        <v>1.4643338926726548</v>
      </c>
      <c r="AA19" s="8">
        <f t="shared" si="5"/>
        <v>0.96168525647352987</v>
      </c>
      <c r="AB19" s="8">
        <f t="shared" si="5"/>
        <v>0.25804461553647218</v>
      </c>
      <c r="AC19" s="8">
        <f t="shared" si="5"/>
        <v>0.10601742177475076</v>
      </c>
      <c r="AD19" s="27">
        <f t="shared" si="5"/>
        <v>1.9786628499983548E-2</v>
      </c>
      <c r="AE19" s="8">
        <f t="shared" si="6"/>
        <v>2.809867814957391</v>
      </c>
      <c r="AG19" s="8">
        <f t="shared" si="7"/>
        <v>1.7706745088714044</v>
      </c>
      <c r="AH19" s="8">
        <f t="shared" si="8"/>
        <v>2.1614081762148198</v>
      </c>
      <c r="AI19" s="8">
        <f t="shared" si="9"/>
        <v>2.3339315732301027</v>
      </c>
      <c r="AJ19" s="8">
        <f t="shared" si="10"/>
        <v>2.2769770548338077</v>
      </c>
      <c r="AK19" s="8">
        <f t="shared" si="11"/>
        <v>2.1357478282875335</v>
      </c>
      <c r="AL19" s="33"/>
    </row>
    <row r="20" spans="1:38" x14ac:dyDescent="0.4">
      <c r="A20" s="4" t="s">
        <v>28</v>
      </c>
      <c r="B20" s="6" t="s">
        <v>76</v>
      </c>
      <c r="C20" s="43" t="s">
        <v>18</v>
      </c>
      <c r="D20" s="3">
        <f>202.25+242.51+278.99</f>
        <v>723.75</v>
      </c>
      <c r="E20" s="3">
        <f>55.02+35.56+51.36</f>
        <v>141.94</v>
      </c>
      <c r="F20" s="3">
        <f>74.21+66.48+86.2</f>
        <v>226.89</v>
      </c>
      <c r="G20" s="3">
        <f>35.86+45.07+52.74</f>
        <v>133.67000000000002</v>
      </c>
      <c r="H20" s="3">
        <f>11.24+26.93+27.74</f>
        <v>65.91</v>
      </c>
      <c r="I20" s="3">
        <f>2.27+15.31+12.44</f>
        <v>30.020000000000003</v>
      </c>
      <c r="J20" s="40">
        <f t="shared" si="2"/>
        <v>125.31999999999994</v>
      </c>
      <c r="K20" s="3">
        <f>55.02+35.56+51.36</f>
        <v>141.94</v>
      </c>
      <c r="L20" s="3">
        <f>74.21+66.48+86.2</f>
        <v>226.89</v>
      </c>
      <c r="M20" s="3">
        <f>35.86+45.07+52.74</f>
        <v>133.67000000000002</v>
      </c>
      <c r="N20" s="41">
        <f>H20+I20</f>
        <v>95.93</v>
      </c>
      <c r="O20" s="40">
        <v>125.32</v>
      </c>
      <c r="P20" s="8">
        <f>K20/$D$20</f>
        <v>0.19611744386873919</v>
      </c>
      <c r="Q20" s="8">
        <f>L20/$D$20</f>
        <v>0.31349222797927462</v>
      </c>
      <c r="R20" s="8">
        <f>M20/$D$20</f>
        <v>0.18469084628670124</v>
      </c>
      <c r="S20" s="8">
        <f>N20/$D$20</f>
        <v>0.13254576856649397</v>
      </c>
      <c r="T20" s="8">
        <f>O20/$D$20</f>
        <v>0.17315371329879101</v>
      </c>
      <c r="Z20" s="8">
        <f t="shared" si="4"/>
        <v>1.2747633851468048</v>
      </c>
      <c r="AA20" s="8">
        <f t="shared" si="5"/>
        <v>1.0972227979274611</v>
      </c>
      <c r="AB20" s="8">
        <f t="shared" si="5"/>
        <v>0.27703626943005188</v>
      </c>
      <c r="AC20" s="8">
        <f t="shared" si="5"/>
        <v>8.2841105354058725E-2</v>
      </c>
      <c r="AD20" s="27">
        <f t="shared" si="5"/>
        <v>2.1644214162348876E-2</v>
      </c>
      <c r="AE20" s="8">
        <f t="shared" si="6"/>
        <v>2.7535077720207251</v>
      </c>
      <c r="AG20" s="8">
        <f t="shared" si="7"/>
        <v>1.9486478386705073</v>
      </c>
      <c r="AH20" s="8">
        <f t="shared" si="8"/>
        <v>2.1380523942029566</v>
      </c>
      <c r="AI20" s="8">
        <f t="shared" si="9"/>
        <v>2.2920134828478611</v>
      </c>
      <c r="AJ20" s="8">
        <f t="shared" si="10"/>
        <v>2.3121736514276234</v>
      </c>
      <c r="AK20" s="8">
        <f t="shared" si="11"/>
        <v>2.1727218417872374</v>
      </c>
      <c r="AL20" s="33"/>
    </row>
    <row r="22" spans="1:38" x14ac:dyDescent="0.4">
      <c r="A22" s="4" t="s">
        <v>29</v>
      </c>
      <c r="B22" s="6" t="s">
        <v>75</v>
      </c>
      <c r="C22" s="39" t="s">
        <v>11</v>
      </c>
      <c r="D22" s="3">
        <f>204.8+193.89+161.45</f>
        <v>560.14</v>
      </c>
      <c r="E22" s="3">
        <f>45.13+53.35+55.65</f>
        <v>154.13</v>
      </c>
      <c r="F22" s="3">
        <f>53.4+62.09+37.94</f>
        <v>153.43</v>
      </c>
      <c r="G22" s="3">
        <f>44.62+35.06+20.04</f>
        <v>99.72</v>
      </c>
      <c r="H22" s="3">
        <f>27.45+15.92+14.18</f>
        <v>57.55</v>
      </c>
      <c r="I22" s="3">
        <f>12.28+7.48+9.52</f>
        <v>29.279999999999998</v>
      </c>
      <c r="J22" s="40">
        <f>D22-E22-F22-G22-H22-I22</f>
        <v>66.029999999999987</v>
      </c>
      <c r="K22" s="3">
        <f>45.13+53.35+55.65-30</f>
        <v>124.13</v>
      </c>
      <c r="L22" s="3">
        <f>53.4+62.09+37.94</f>
        <v>153.43</v>
      </c>
      <c r="M22" s="3">
        <f>44.62+35.06+20.04</f>
        <v>99.72</v>
      </c>
      <c r="N22" s="41">
        <f>H22+I22</f>
        <v>86.83</v>
      </c>
      <c r="O22" s="40">
        <f>66.03+30</f>
        <v>96.03</v>
      </c>
      <c r="P22" s="8">
        <f>K22/$D$22</f>
        <v>0.2216053129574749</v>
      </c>
      <c r="Q22" s="8">
        <f>L22/$D$22</f>
        <v>0.2739136644410326</v>
      </c>
      <c r="R22" s="8">
        <f>M22/$D$22</f>
        <v>0.17802692184096833</v>
      </c>
      <c r="S22" s="8">
        <f>N22/$D$22</f>
        <v>0.15501481772414039</v>
      </c>
      <c r="T22" s="8">
        <f>O22/$D$22</f>
        <v>0.17143928303638375</v>
      </c>
      <c r="U22" s="42">
        <f>AVERAGE(P22,P23)</f>
        <v>0.20351004531314099</v>
      </c>
      <c r="V22" s="8">
        <f>AVERAGE(Q22,Q23)</f>
        <v>0.25616262041836607</v>
      </c>
      <c r="W22" s="8">
        <f>AVERAGE(R22,R23)</f>
        <v>0.17800145152021402</v>
      </c>
      <c r="X22" s="8">
        <f>AVERAGE(S22,S23)</f>
        <v>0.15868651361586822</v>
      </c>
      <c r="Y22" s="27">
        <f>AVERAGE(T22,T23)</f>
        <v>0.20363936913241071</v>
      </c>
      <c r="Z22" s="8">
        <f>Z$2*P22</f>
        <v>1.4404345342235869</v>
      </c>
      <c r="AA22" s="8">
        <f t="shared" ref="AA22:AD23" si="12">+AA$2*Q22</f>
        <v>0.95869782554361405</v>
      </c>
      <c r="AB22" s="8">
        <f t="shared" si="12"/>
        <v>0.26704038276145248</v>
      </c>
      <c r="AC22" s="8">
        <f t="shared" si="12"/>
        <v>9.6884261077587741E-2</v>
      </c>
      <c r="AD22" s="27">
        <f t="shared" si="12"/>
        <v>2.1429910379547969E-2</v>
      </c>
      <c r="AE22" s="8">
        <f>SUM(Z22:AD22)</f>
        <v>2.7844869139857891</v>
      </c>
      <c r="AF22" s="22">
        <f>AVERAGE(AE22,AE23)</f>
        <v>2.6110206354314878</v>
      </c>
      <c r="AG22" s="8">
        <f>3-LN((D22-K22)/D22)/LN(6.5/8)</f>
        <v>1.7934774608556263</v>
      </c>
      <c r="AH22" s="8">
        <f>3-LN((D22-E22-F22)/D22)/LN(3.5/8)</f>
        <v>2.0365557447578193</v>
      </c>
      <c r="AI22" s="8">
        <f>3-LN((D22-K22-L22-M22)/D22)/LN(1.5/8)</f>
        <v>2.3312534768726829</v>
      </c>
      <c r="AJ22" s="8">
        <f>3-LN((D22-K22-L22-M22-N22)/D22)/LN(0.625/8)</f>
        <v>2.308270626901038</v>
      </c>
      <c r="AK22" s="8">
        <f>AVERAGE(AG22:AJ22)</f>
        <v>2.1173893273467916</v>
      </c>
      <c r="AL22" s="22">
        <f>AVERAGE(AK22,AK23)</f>
        <v>2.2216949572697287</v>
      </c>
    </row>
    <row r="23" spans="1:38" x14ac:dyDescent="0.4">
      <c r="A23" s="4" t="s">
        <v>30</v>
      </c>
      <c r="B23" s="6" t="s">
        <v>75</v>
      </c>
      <c r="C23" s="39" t="s">
        <v>11</v>
      </c>
      <c r="D23" s="3">
        <f>252.57+287.84</f>
        <v>540.41</v>
      </c>
      <c r="E23" s="3">
        <f>52.17+28.03</f>
        <v>80.2</v>
      </c>
      <c r="F23" s="3">
        <f>68.4+60.44</f>
        <v>128.84</v>
      </c>
      <c r="G23" s="3">
        <f>42.9+53.28</f>
        <v>96.18</v>
      </c>
      <c r="H23" s="3">
        <f>20.36+37.82</f>
        <v>58.18</v>
      </c>
      <c r="I23" s="3">
        <f>6.86+22.7</f>
        <v>29.56</v>
      </c>
      <c r="J23" s="40">
        <f>D23-E23-F23-G23-H23-I23</f>
        <v>147.44999999999999</v>
      </c>
      <c r="K23" s="3">
        <f>52.17+28.03+20</f>
        <v>100.2</v>
      </c>
      <c r="L23" s="3">
        <f>68.4+60.44</f>
        <v>128.84</v>
      </c>
      <c r="M23" s="3">
        <f>42.9+53.28</f>
        <v>96.18</v>
      </c>
      <c r="N23" s="41">
        <f>H23+I23</f>
        <v>87.74</v>
      </c>
      <c r="O23" s="40">
        <f>147.45-20</f>
        <v>127.44999999999999</v>
      </c>
      <c r="P23" s="8">
        <f>K23/$D$23</f>
        <v>0.18541477766880704</v>
      </c>
      <c r="Q23" s="8">
        <f>L23/$D$23</f>
        <v>0.23841157639569957</v>
      </c>
      <c r="R23" s="8">
        <f>M23/$D$23</f>
        <v>0.1779759811994597</v>
      </c>
      <c r="S23" s="8">
        <f>N23/$D$23</f>
        <v>0.16235820950759608</v>
      </c>
      <c r="T23" s="8">
        <f>O23/$D$23</f>
        <v>0.23583945522843766</v>
      </c>
      <c r="Z23" s="8">
        <f>Z$2*P23</f>
        <v>1.2051960548472458</v>
      </c>
      <c r="AA23" s="8">
        <f t="shared" si="12"/>
        <v>0.83444051738494851</v>
      </c>
      <c r="AB23" s="8">
        <f t="shared" si="12"/>
        <v>0.26696397179918957</v>
      </c>
      <c r="AC23" s="8">
        <f t="shared" si="12"/>
        <v>0.10147388094224755</v>
      </c>
      <c r="AD23" s="27">
        <f t="shared" si="12"/>
        <v>2.9479931903554708E-2</v>
      </c>
      <c r="AE23" s="8">
        <f>SUM(Z23:AD23)</f>
        <v>2.437554356877186</v>
      </c>
      <c r="AG23" s="8">
        <f>3-LN((D23-K23)/D23)/LN(6.5/8)</f>
        <v>2.0123441903035912</v>
      </c>
      <c r="AH23" s="8">
        <f>3-LN((D23-E23-F23)/D23)/LN(3.5/8)</f>
        <v>2.4083643259405196</v>
      </c>
      <c r="AI23" s="8">
        <f>3-LN((D23-K23-L23-M23)/D23)/LN(1.5/8)</f>
        <v>2.4499284855791217</v>
      </c>
      <c r="AJ23" s="8">
        <f>3-LN((D23-K23-L23-M23-N23)/D23)/LN(0.625/8)</f>
        <v>2.433365346947431</v>
      </c>
      <c r="AK23" s="8">
        <f>AVERAGE(AG23:AJ23)</f>
        <v>2.3260005871926657</v>
      </c>
      <c r="AL23" s="33"/>
    </row>
    <row r="24" spans="1:38" x14ac:dyDescent="0.4">
      <c r="A24" s="4"/>
      <c r="B24" s="6" t="s">
        <v>75</v>
      </c>
      <c r="C24" s="39"/>
      <c r="J24" s="40"/>
      <c r="N24" s="41"/>
      <c r="O24" s="40"/>
      <c r="P24" s="8">
        <f>U22</f>
        <v>0.20351004531314099</v>
      </c>
      <c r="Q24" s="8">
        <f>V22</f>
        <v>0.25616262041836607</v>
      </c>
      <c r="R24" s="8">
        <f>W22</f>
        <v>0.17800145152021402</v>
      </c>
      <c r="S24" s="8">
        <f>X22</f>
        <v>0.15868651361586822</v>
      </c>
      <c r="T24" s="8">
        <f>Y22</f>
        <v>0.20363936913241071</v>
      </c>
      <c r="Z24" s="8"/>
      <c r="AA24" s="8"/>
      <c r="AB24" s="8"/>
      <c r="AC24" s="8"/>
      <c r="AD24" s="27"/>
      <c r="AE24" s="8">
        <f>AF22</f>
        <v>2.6110206354314878</v>
      </c>
      <c r="AG24" s="8"/>
      <c r="AH24" s="8"/>
      <c r="AI24" s="8"/>
      <c r="AJ24" s="8"/>
      <c r="AK24" s="8"/>
      <c r="AL24" s="33"/>
    </row>
    <row r="25" spans="1:38" x14ac:dyDescent="0.4">
      <c r="A25" s="4" t="s">
        <v>31</v>
      </c>
      <c r="B25" s="6" t="s">
        <v>75</v>
      </c>
      <c r="C25" s="43" t="s">
        <v>15</v>
      </c>
      <c r="D25" s="3">
        <f>202.56+194.99+208.29</f>
        <v>605.84</v>
      </c>
      <c r="E25" s="3">
        <f>44.02+14.07+16.98</f>
        <v>75.070000000000007</v>
      </c>
      <c r="F25" s="3">
        <f>75.42-2.3+53.21+52.96</f>
        <v>179.29000000000002</v>
      </c>
      <c r="G25" s="3">
        <f>38.95+47.36+43.58</f>
        <v>129.88999999999999</v>
      </c>
      <c r="H25" s="3">
        <f>21.06-6.57+31.45+27.19</f>
        <v>73.13</v>
      </c>
      <c r="I25" s="3">
        <f>3.85+12.81+15.83</f>
        <v>32.49</v>
      </c>
      <c r="J25" s="40">
        <f>D25-E25-F25-G25-H25-I25</f>
        <v>115.96999999999997</v>
      </c>
      <c r="K25" s="3">
        <f>44.02+14.07+16.98</f>
        <v>75.070000000000007</v>
      </c>
      <c r="L25" s="3">
        <f>75.42-2.3+53.21+52.96</f>
        <v>179.29000000000002</v>
      </c>
      <c r="M25" s="3">
        <f>38.95+47.36+43.58</f>
        <v>129.88999999999999</v>
      </c>
      <c r="N25" s="41">
        <f>H25+I25</f>
        <v>105.62</v>
      </c>
      <c r="O25" s="40">
        <v>115.97</v>
      </c>
      <c r="P25" s="8">
        <f>K25/$D$25</f>
        <v>0.12391060345965932</v>
      </c>
      <c r="Q25" s="8">
        <f>L25/$D$25</f>
        <v>0.29593622078436554</v>
      </c>
      <c r="R25" s="8">
        <f>M25/$D$25</f>
        <v>0.21439654034068398</v>
      </c>
      <c r="S25" s="8">
        <f>N25/$D$25</f>
        <v>0.17433645847088339</v>
      </c>
      <c r="T25" s="8">
        <f>O25/$D$25</f>
        <v>0.19142017694440774</v>
      </c>
      <c r="U25" s="42">
        <f>AVERAGE(P25,P26)</f>
        <v>0.13190669368740809</v>
      </c>
      <c r="V25" s="8">
        <f>AVERAGE(Q25,Q26)</f>
        <v>0.33100684952902182</v>
      </c>
      <c r="W25" s="8">
        <f>AVERAGE(R25,R26)</f>
        <v>0.21873163296309497</v>
      </c>
      <c r="X25" s="8">
        <f>AVERAGE(S25,S26)</f>
        <v>0.15505746181755981</v>
      </c>
      <c r="Y25" s="27">
        <f>AVERAGE(T25,T26)</f>
        <v>0.16329736200291534</v>
      </c>
      <c r="Z25" s="8">
        <f>Z$2*P25</f>
        <v>0.80541892248778557</v>
      </c>
      <c r="AA25" s="8">
        <f t="shared" ref="AA25:AD26" si="13">+AA$2*Q25</f>
        <v>1.0357767727452794</v>
      </c>
      <c r="AB25" s="8">
        <f t="shared" si="13"/>
        <v>0.32159481051102595</v>
      </c>
      <c r="AC25" s="8">
        <f t="shared" si="13"/>
        <v>0.10896028654430212</v>
      </c>
      <c r="AD25" s="27">
        <f t="shared" si="13"/>
        <v>2.3927522118050968E-2</v>
      </c>
      <c r="AE25" s="8">
        <f>SUM(Z25:AD25)</f>
        <v>2.2956783144064441</v>
      </c>
      <c r="AF25" s="22">
        <f>AVERAGE(AE25,AE26)</f>
        <v>2.4613380156507105</v>
      </c>
      <c r="AG25" s="8">
        <f>3-LN((D25-K25)/D25)/LN(6.5/8)</f>
        <v>2.3628995034312412</v>
      </c>
      <c r="AH25" s="8">
        <f>3-LN((D25-E25-F25)/D25)/LN(3.5/8)</f>
        <v>2.3413847511728942</v>
      </c>
      <c r="AI25" s="8">
        <f>3-LN((D25-K25-L25-M25)/D25)/LN(1.5/8)</f>
        <v>2.3991629289795551</v>
      </c>
      <c r="AJ25" s="8">
        <f>3-LN((D25-K25-L25-M25-N25)/D25)/LN(0.625/8)</f>
        <v>2.3515120832205487</v>
      </c>
      <c r="AK25" s="8">
        <f>AVERAGE(AG25:AJ25)</f>
        <v>2.3637398167010599</v>
      </c>
      <c r="AL25" s="22">
        <f>AVERAGE(AK25,AK26)</f>
        <v>2.2888863988689483</v>
      </c>
    </row>
    <row r="26" spans="1:38" x14ac:dyDescent="0.4">
      <c r="A26" s="4" t="s">
        <v>32</v>
      </c>
      <c r="B26" s="6" t="s">
        <v>75</v>
      </c>
      <c r="C26" s="43" t="s">
        <v>15</v>
      </c>
      <c r="D26" s="3">
        <f>193.19+271.96+213.75</f>
        <v>678.9</v>
      </c>
      <c r="E26" s="3">
        <f>40.32+30.06+24.6</f>
        <v>94.97999999999999</v>
      </c>
      <c r="F26" s="3">
        <f>93.74+78.38+76.41</f>
        <v>248.53</v>
      </c>
      <c r="G26" s="3">
        <f>45.58+50.38+55.48</f>
        <v>151.44</v>
      </c>
      <c r="H26" s="3">
        <f>9.96+16.21+39.46</f>
        <v>65.63</v>
      </c>
      <c r="I26" s="3">
        <f>2.3+22.3+1.95</f>
        <v>26.55</v>
      </c>
      <c r="J26" s="40">
        <f>D26-E26-F26-G26-H26-I26</f>
        <v>91.77</v>
      </c>
      <c r="K26" s="3">
        <f>40.32+30.06+24.6</f>
        <v>94.97999999999999</v>
      </c>
      <c r="L26" s="3">
        <f>93.74+78.38+76.41</f>
        <v>248.53</v>
      </c>
      <c r="M26" s="3">
        <f>45.58+50.38+55.48</f>
        <v>151.44</v>
      </c>
      <c r="N26" s="41">
        <f>H26+I26</f>
        <v>92.179999999999993</v>
      </c>
      <c r="O26" s="40">
        <v>91.77</v>
      </c>
      <c r="P26" s="8">
        <f>K26/$D$26</f>
        <v>0.13990278391515687</v>
      </c>
      <c r="Q26" s="8">
        <f>L26/$D$26</f>
        <v>0.36607747827367804</v>
      </c>
      <c r="R26" s="8">
        <f>M26/$D$26</f>
        <v>0.22306672558550597</v>
      </c>
      <c r="S26" s="8">
        <f>N26/$D$26</f>
        <v>0.13577846516423625</v>
      </c>
      <c r="T26" s="8">
        <f>O26/$D$26</f>
        <v>0.1351745470614229</v>
      </c>
      <c r="Z26" s="8">
        <f>Z$2*P26</f>
        <v>0.90936809544851971</v>
      </c>
      <c r="AA26" s="8">
        <f t="shared" si="13"/>
        <v>1.281271173957873</v>
      </c>
      <c r="AB26" s="8">
        <f t="shared" si="13"/>
        <v>0.33460008837825894</v>
      </c>
      <c r="AC26" s="8">
        <f t="shared" si="13"/>
        <v>8.486154072764765E-2</v>
      </c>
      <c r="AD26" s="27">
        <f t="shared" si="13"/>
        <v>1.6896818382677863E-2</v>
      </c>
      <c r="AE26" s="8">
        <f>SUM(Z26:AD26)</f>
        <v>2.626997716894977</v>
      </c>
      <c r="AG26" s="8">
        <f>3-LN((D26-K26)/D26)/LN(6.5/8)</f>
        <v>2.2741749411284307</v>
      </c>
      <c r="AH26" s="8">
        <f>3-LN((D26-E26-F26)/D26)/LN(3.5/8)</f>
        <v>2.1469721964697501</v>
      </c>
      <c r="AI26" s="8">
        <f>3-LN((D26-K26-L26-M26)/D26)/LN(1.5/8)</f>
        <v>2.2199353386530758</v>
      </c>
      <c r="AJ26" s="8">
        <f>3-LN((D26-K26-L26-M26-N26)/D26)/LN(0.625/8)</f>
        <v>2.2150494478960878</v>
      </c>
      <c r="AK26" s="8">
        <f>AVERAGE(AG26:AJ26)</f>
        <v>2.2140329810368362</v>
      </c>
      <c r="AL26" s="33"/>
    </row>
    <row r="27" spans="1:38" x14ac:dyDescent="0.4">
      <c r="A27" s="4"/>
      <c r="B27" s="6" t="s">
        <v>75</v>
      </c>
      <c r="C27" s="43"/>
      <c r="J27" s="40"/>
      <c r="N27" s="41"/>
      <c r="O27" s="40"/>
      <c r="P27" s="8">
        <f>U25</f>
        <v>0.13190669368740809</v>
      </c>
      <c r="Q27" s="8">
        <f>V25</f>
        <v>0.33100684952902182</v>
      </c>
      <c r="R27" s="8">
        <f>W25</f>
        <v>0.21873163296309497</v>
      </c>
      <c r="S27" s="8">
        <f>X25</f>
        <v>0.15505746181755981</v>
      </c>
      <c r="T27" s="8">
        <f>Y25</f>
        <v>0.16329736200291534</v>
      </c>
      <c r="Z27" s="8"/>
      <c r="AA27" s="8"/>
      <c r="AB27" s="8"/>
      <c r="AC27" s="8"/>
      <c r="AD27" s="27"/>
      <c r="AE27" s="8">
        <f>AF25</f>
        <v>2.4613380156507105</v>
      </c>
      <c r="AG27" s="8"/>
      <c r="AH27" s="8"/>
      <c r="AI27" s="8"/>
      <c r="AJ27" s="8"/>
      <c r="AK27" s="8"/>
      <c r="AL27" s="33"/>
    </row>
    <row r="28" spans="1:38" x14ac:dyDescent="0.4">
      <c r="A28" s="4" t="s">
        <v>33</v>
      </c>
      <c r="B28" s="6" t="s">
        <v>75</v>
      </c>
      <c r="C28" s="43" t="s">
        <v>18</v>
      </c>
      <c r="D28" s="3">
        <f>175.42+158.59+172.06</f>
        <v>506.07</v>
      </c>
      <c r="E28" s="3">
        <f>86.55+26.91+43.51</f>
        <v>156.97</v>
      </c>
      <c r="F28" s="3">
        <f>59.94+41.79+58.06</f>
        <v>159.79</v>
      </c>
      <c r="G28" s="3">
        <f>32.52+30.4+13.36</f>
        <v>76.28</v>
      </c>
      <c r="H28" s="3">
        <f>21.43+12.42+3.33</f>
        <v>37.18</v>
      </c>
      <c r="I28" s="3">
        <f>9.89+6.44+1.54</f>
        <v>17.87</v>
      </c>
      <c r="J28" s="40">
        <f>D28-E28-F28-G28-H28-I28</f>
        <v>57.980000000000018</v>
      </c>
      <c r="K28" s="3">
        <f>86.55+26.91+43.51</f>
        <v>156.97</v>
      </c>
      <c r="L28" s="3">
        <f>59.94+41.79+58.06</f>
        <v>159.79</v>
      </c>
      <c r="M28" s="3">
        <f>32.52+30.4+13.36</f>
        <v>76.28</v>
      </c>
      <c r="N28" s="41">
        <f>H28+I28</f>
        <v>55.05</v>
      </c>
      <c r="O28" s="40">
        <v>57.98</v>
      </c>
      <c r="P28" s="8">
        <f>K28/$D$28</f>
        <v>0.31017448179105656</v>
      </c>
      <c r="Q28" s="8">
        <f>L28/$D$28</f>
        <v>0.31574683344201393</v>
      </c>
      <c r="R28" s="8">
        <f>M28/$D$28</f>
        <v>0.15073013614717332</v>
      </c>
      <c r="S28" s="8">
        <f>N28/$D$28</f>
        <v>0.10877941786709348</v>
      </c>
      <c r="T28" s="8">
        <f>O28/$D$28</f>
        <v>0.11456913075266267</v>
      </c>
      <c r="U28" s="42">
        <f>AVERAGE(P28,P29)</f>
        <v>0.28188646926769034</v>
      </c>
      <c r="V28" s="8">
        <f>AVERAGE(Q28,Q29)</f>
        <v>0.29946712498632821</v>
      </c>
      <c r="W28" s="8">
        <f>AVERAGE(R28,R29)</f>
        <v>0.16698103483423363</v>
      </c>
      <c r="X28" s="8">
        <f>AVERAGE(S28,S29)</f>
        <v>0.14351272421771355</v>
      </c>
      <c r="Y28" s="27">
        <f>AVERAGE(T28,T29)</f>
        <v>0.10815264669403427</v>
      </c>
      <c r="Z28" s="8">
        <f>Z$2*P28</f>
        <v>2.0161341316418677</v>
      </c>
      <c r="AA28" s="8">
        <f t="shared" ref="AA28:AD29" si="14">+AA$2*Q28</f>
        <v>1.1051139170470488</v>
      </c>
      <c r="AB28" s="8">
        <f t="shared" si="14"/>
        <v>0.22609520422075996</v>
      </c>
      <c r="AC28" s="8">
        <f t="shared" si="14"/>
        <v>6.7987136166933429E-2</v>
      </c>
      <c r="AD28" s="27">
        <f t="shared" si="14"/>
        <v>1.4321141344082834E-2</v>
      </c>
      <c r="AE28" s="8">
        <f>SUM(Z28:AD28)</f>
        <v>3.4296515304206925</v>
      </c>
      <c r="AF28" s="22">
        <f>AVERAGE(AE28,AE29)</f>
        <v>3.2340830734163113</v>
      </c>
      <c r="AG28" s="8">
        <f>3-LN((D28-K28)/D28)/LN(6.5/8)</f>
        <v>1.211723552873033</v>
      </c>
      <c r="AH28" s="8">
        <f>3-LN((D28-E28-F28)/D28)/LN(3.5/8)</f>
        <v>1.810554490567283</v>
      </c>
      <c r="AI28" s="8">
        <f>3-LN((D28-K28-L28-M28)/D28)/LN(1.5/8)</f>
        <v>2.1045144367777571</v>
      </c>
      <c r="AJ28" s="8">
        <f>3-LN((D28-K28-L28-M28-N28)/D28)/LN(0.625/8)</f>
        <v>2.15017710486386</v>
      </c>
      <c r="AK28" s="8">
        <f>AVERAGE(AG28:AJ28)</f>
        <v>1.8192423962704833</v>
      </c>
      <c r="AL28" s="22">
        <f>AVERAGE(AK28,AK29)</f>
        <v>1.9100628798260244</v>
      </c>
    </row>
    <row r="29" spans="1:38" x14ac:dyDescent="0.4">
      <c r="A29" s="4" t="s">
        <v>34</v>
      </c>
      <c r="B29" s="6" t="s">
        <v>75</v>
      </c>
      <c r="C29" s="43" t="s">
        <v>18</v>
      </c>
      <c r="D29" s="3">
        <f>195.86+220.66+257.38</f>
        <v>673.9</v>
      </c>
      <c r="E29" s="3">
        <f>78.4+52.38+40.12</f>
        <v>170.9</v>
      </c>
      <c r="F29" s="3">
        <f>68.17+66.78+55.89</f>
        <v>190.83999999999997</v>
      </c>
      <c r="G29" s="3">
        <f>23.09+48.85+51.54</f>
        <v>123.47999999999999</v>
      </c>
      <c r="H29" s="3">
        <f>6.42+29.78+45.67</f>
        <v>81.87</v>
      </c>
      <c r="I29" s="3">
        <f>2.53+7.96+27.76</f>
        <v>38.25</v>
      </c>
      <c r="J29" s="40">
        <f>D29-E29-F29-G29-H29-I29</f>
        <v>68.560000000000031</v>
      </c>
      <c r="K29" s="3">
        <f>78.4+52.38+40.12</f>
        <v>170.9</v>
      </c>
      <c r="L29" s="3">
        <f>68.17+66.78+55.89</f>
        <v>190.83999999999997</v>
      </c>
      <c r="M29" s="3">
        <f>23.09+48.85+51.54</f>
        <v>123.47999999999999</v>
      </c>
      <c r="N29" s="41">
        <f>H29+I29</f>
        <v>120.12</v>
      </c>
      <c r="O29" s="40">
        <v>68.56</v>
      </c>
      <c r="P29" s="8">
        <f>K29/$D$29</f>
        <v>0.25359845674432407</v>
      </c>
      <c r="Q29" s="8">
        <f>L29/$D$29</f>
        <v>0.2831874165306425</v>
      </c>
      <c r="R29" s="8">
        <f>M29/$D$29</f>
        <v>0.18323193352129394</v>
      </c>
      <c r="S29" s="8">
        <f>N29/$D$29</f>
        <v>0.1782460305683336</v>
      </c>
      <c r="T29" s="8">
        <f>O29/$D$29</f>
        <v>0.10173616263540586</v>
      </c>
      <c r="Z29" s="8">
        <f>Z$2*P29</f>
        <v>1.6483899688381065</v>
      </c>
      <c r="AA29" s="8">
        <f t="shared" si="14"/>
        <v>0.99115595785724875</v>
      </c>
      <c r="AB29" s="8">
        <f t="shared" si="14"/>
        <v>0.27484790028194089</v>
      </c>
      <c r="AC29" s="8">
        <f t="shared" si="14"/>
        <v>0.11140376910520849</v>
      </c>
      <c r="AD29" s="27">
        <f t="shared" si="14"/>
        <v>1.2717020329425732E-2</v>
      </c>
      <c r="AE29" s="8">
        <f>SUM(Z29:AD29)</f>
        <v>3.0385146164119301</v>
      </c>
      <c r="AG29" s="8">
        <f>3-LN((D29-K29)/D29)/LN(6.5/8)</f>
        <v>1.5913482148974578</v>
      </c>
      <c r="AH29" s="8">
        <f>3-LN((D29-E29-F29)/D29)/LN(3.5/8)</f>
        <v>2.0690869703893409</v>
      </c>
      <c r="AI29" s="8">
        <f>3-LN((D29-K29-L29-M29)/D29)/LN(1.5/8)</f>
        <v>2.2395178044293504</v>
      </c>
      <c r="AJ29" s="8">
        <f>3-LN((D29-K29-L29-M29-N29)/D29)/LN(0.625/8)</f>
        <v>2.1035804638101134</v>
      </c>
      <c r="AK29" s="8">
        <f>AVERAGE(AG29:AJ29)</f>
        <v>2.0008833633815657</v>
      </c>
      <c r="AL29" s="33"/>
    </row>
    <row r="30" spans="1:38" x14ac:dyDescent="0.4">
      <c r="B30" s="6" t="s">
        <v>75</v>
      </c>
      <c r="P30" s="8">
        <f>U28</f>
        <v>0.28188646926769034</v>
      </c>
      <c r="Q30" s="8">
        <f>V28</f>
        <v>0.29946712498632821</v>
      </c>
      <c r="R30" s="8">
        <f>W28</f>
        <v>0.16698103483423363</v>
      </c>
      <c r="S30" s="8">
        <f>X28</f>
        <v>0.14351272421771355</v>
      </c>
      <c r="T30" s="8">
        <f>Y28</f>
        <v>0.10815264669403427</v>
      </c>
      <c r="AE30" s="8">
        <f>AF28</f>
        <v>3.2340830734163113</v>
      </c>
    </row>
    <row r="31" spans="1:38" x14ac:dyDescent="0.4">
      <c r="A31" s="4" t="s">
        <v>35</v>
      </c>
      <c r="B31" s="6" t="s">
        <v>77</v>
      </c>
      <c r="C31" s="39" t="s">
        <v>11</v>
      </c>
      <c r="D31" s="3">
        <f>258+175.23+240.74</f>
        <v>673.97</v>
      </c>
      <c r="E31" s="3">
        <f>59.49+35.39+12.43</f>
        <v>107.31</v>
      </c>
      <c r="F31" s="3">
        <f>58.88+41.96+34.61</f>
        <v>135.44999999999999</v>
      </c>
      <c r="G31" s="3">
        <f>35.95+25.89+41.12</f>
        <v>102.96000000000001</v>
      </c>
      <c r="H31" s="3">
        <f>22.9+17.21+39.33</f>
        <v>79.44</v>
      </c>
      <c r="I31" s="3">
        <f>14.01+9.66+26.75</f>
        <v>50.42</v>
      </c>
      <c r="J31" s="40">
        <f>D31-E31-F31-G31-H31-I31</f>
        <v>198.3900000000001</v>
      </c>
      <c r="K31" s="3">
        <f>59.49+35.39+12.43</f>
        <v>107.31</v>
      </c>
      <c r="L31" s="3">
        <f>58.88+41.96+34.61</f>
        <v>135.44999999999999</v>
      </c>
      <c r="M31" s="3">
        <f>35.95+25.89+41.12+20</f>
        <v>122.96000000000001</v>
      </c>
      <c r="N31" s="41">
        <f>H31+I31</f>
        <v>129.86000000000001</v>
      </c>
      <c r="O31" s="40">
        <f>198.39-20</f>
        <v>178.39</v>
      </c>
      <c r="P31" s="8">
        <f>K31/$D$31</f>
        <v>0.15922073682804871</v>
      </c>
      <c r="Q31" s="8">
        <f>L31/$D$31</f>
        <v>0.20097333709215542</v>
      </c>
      <c r="R31" s="8">
        <f>M31/$D$31</f>
        <v>0.18244135495645208</v>
      </c>
      <c r="S31" s="8">
        <f>N31/$D$31</f>
        <v>0.1926791993708919</v>
      </c>
      <c r="T31" s="8">
        <f>O31/$D$31</f>
        <v>0.26468537175245188</v>
      </c>
      <c r="U31" s="42">
        <f>AVERAGE(P31,P32)</f>
        <v>0.17196584926564917</v>
      </c>
      <c r="V31" s="8">
        <f>AVERAGE(Q31,Q32)</f>
        <v>0.22130105124992058</v>
      </c>
      <c r="W31" s="8">
        <f>AVERAGE(R31,R32)</f>
        <v>0.19123880416730388</v>
      </c>
      <c r="X31" s="8">
        <f>AVERAGE(S31,S32)</f>
        <v>0.18378439567779981</v>
      </c>
      <c r="Y31" s="27">
        <f>AVERAGE(T31,T32)</f>
        <v>0.23170989963932653</v>
      </c>
      <c r="Z31" s="8">
        <f>Z$2*P31</f>
        <v>1.0349347893823166</v>
      </c>
      <c r="AA31" s="8">
        <f t="shared" ref="AA31:AD32" si="15">+AA$2*Q31</f>
        <v>0.70340667982254401</v>
      </c>
      <c r="AB31" s="8">
        <f t="shared" si="15"/>
        <v>0.27366203243467813</v>
      </c>
      <c r="AC31" s="8">
        <f t="shared" si="15"/>
        <v>0.12042449960680743</v>
      </c>
      <c r="AD31" s="27">
        <f t="shared" si="15"/>
        <v>3.3085671469056485E-2</v>
      </c>
      <c r="AE31" s="8">
        <f>SUM(Z31:AD31)</f>
        <v>2.1655136727154027</v>
      </c>
      <c r="AF31" s="22">
        <f>AVERAGE(AE31,AE32)</f>
        <v>2.3230188906059386</v>
      </c>
      <c r="AG31" s="8">
        <f>3-LN((D31-K31)/D31)/LN(6.5/8)</f>
        <v>2.1647724258835064</v>
      </c>
      <c r="AH31" s="8">
        <f>3-LN((D31-E31-F31)/D31)/LN(3.5/8)</f>
        <v>2.4597774714359479</v>
      </c>
      <c r="AI31" s="8">
        <f>3-LN((D31-K31-L31-M31)/D31)/LN(1.5/8)</f>
        <v>2.5326849041581885</v>
      </c>
      <c r="AJ31" s="8">
        <f>3-LN((D31-K31-L31-M31-N31)/D31)/LN(0.625/8)</f>
        <v>2.4786263890153837</v>
      </c>
      <c r="AK31" s="8">
        <f>AVERAGE(AG31:AJ31)</f>
        <v>2.4089652976232565</v>
      </c>
      <c r="AL31" s="22">
        <f>AVERAGE(AK31,AK32)</f>
        <v>2.3358323563560823</v>
      </c>
    </row>
    <row r="32" spans="1:38" x14ac:dyDescent="0.4">
      <c r="A32" s="4" t="s">
        <v>36</v>
      </c>
      <c r="B32" s="6" t="s">
        <v>77</v>
      </c>
      <c r="C32" s="39" t="s">
        <v>11</v>
      </c>
      <c r="D32" s="3">
        <f>177.97+224.94+203.93</f>
        <v>606.83999999999992</v>
      </c>
      <c r="E32" s="3">
        <f>32.91+37.52+41.66</f>
        <v>112.09</v>
      </c>
      <c r="F32" s="3">
        <f>51.73+59.42+55.48</f>
        <v>166.63</v>
      </c>
      <c r="G32" s="3">
        <f>45.49+51.54+44.36</f>
        <v>141.38999999999999</v>
      </c>
      <c r="H32" s="3">
        <f>22.55+30.75+24.19</f>
        <v>77.489999999999995</v>
      </c>
      <c r="I32" s="3">
        <f>6.73+11.17+10.74</f>
        <v>28.64</v>
      </c>
      <c r="J32" s="40">
        <f>D32-E32-F32-G32-H32-I32</f>
        <v>80.599999999999909</v>
      </c>
      <c r="K32" s="3">
        <f>32.91+37.52+41.66</f>
        <v>112.09</v>
      </c>
      <c r="L32" s="3">
        <f>51.73+59.42+55.48-20</f>
        <v>146.63</v>
      </c>
      <c r="M32" s="3">
        <f>45.49+51.54+44.36-20</f>
        <v>121.38999999999999</v>
      </c>
      <c r="N32" s="41">
        <f>H32+I32</f>
        <v>106.13</v>
      </c>
      <c r="O32" s="40">
        <f>80.5999999999999+40</f>
        <v>120.59999999999989</v>
      </c>
      <c r="P32" s="8">
        <f>K32/$D$32</f>
        <v>0.18471096170324966</v>
      </c>
      <c r="Q32" s="8">
        <f>L32/$D$32</f>
        <v>0.24162876540768574</v>
      </c>
      <c r="R32" s="8">
        <f>M32/$D$32</f>
        <v>0.2000362533781557</v>
      </c>
      <c r="S32" s="8">
        <f>N32/$D$32</f>
        <v>0.17488959198470769</v>
      </c>
      <c r="T32" s="8">
        <f>O32/$D$32</f>
        <v>0.19873442752620116</v>
      </c>
      <c r="Z32" s="8">
        <f>Z$2*P32</f>
        <v>1.2006212510711227</v>
      </c>
      <c r="AA32" s="8">
        <f t="shared" si="15"/>
        <v>0.84570067892690015</v>
      </c>
      <c r="AB32" s="8">
        <f t="shared" si="15"/>
        <v>0.30005438006723356</v>
      </c>
      <c r="AC32" s="8">
        <f t="shared" si="15"/>
        <v>0.1093059949904423</v>
      </c>
      <c r="AD32" s="27">
        <f t="shared" si="15"/>
        <v>2.4841803440775145E-2</v>
      </c>
      <c r="AE32" s="8">
        <f>SUM(Z32:AD32)</f>
        <v>2.480524108496474</v>
      </c>
      <c r="AG32" s="8">
        <f>3-LN((D32-K32)/D32)/LN(6.5/8)</f>
        <v>2.0165035391275024</v>
      </c>
      <c r="AH32" s="8">
        <f>3-LN((D32-E32-F32)/D32)/LN(3.5/8)</f>
        <v>2.2561972818810014</v>
      </c>
      <c r="AI32" s="8">
        <f>3-LN((D32-K32-L32-M32)/D32)/LN(1.5/8)</f>
        <v>2.4118762588904814</v>
      </c>
      <c r="AJ32" s="8">
        <f>3-LN((D32-K32-L32-M32-N32)/D32)/LN(0.625/8)</f>
        <v>2.3662205804566492</v>
      </c>
      <c r="AK32" s="8">
        <f>AVERAGE(AG32:AJ32)</f>
        <v>2.2626994150889086</v>
      </c>
    </row>
    <row r="33" spans="1:38" x14ac:dyDescent="0.4">
      <c r="A33" s="4"/>
      <c r="B33" s="6" t="s">
        <v>77</v>
      </c>
      <c r="C33" s="39"/>
      <c r="J33" s="40"/>
      <c r="N33" s="41"/>
      <c r="O33" s="40"/>
      <c r="P33" s="8">
        <f>U31</f>
        <v>0.17196584926564917</v>
      </c>
      <c r="Q33" s="8">
        <f>V31</f>
        <v>0.22130105124992058</v>
      </c>
      <c r="R33" s="8">
        <f>W31</f>
        <v>0.19123880416730388</v>
      </c>
      <c r="S33" s="8">
        <f>X31</f>
        <v>0.18378439567779981</v>
      </c>
      <c r="T33" s="8">
        <f>Y31</f>
        <v>0.23170989963932653</v>
      </c>
      <c r="Z33" s="8"/>
      <c r="AA33" s="8"/>
      <c r="AB33" s="8"/>
      <c r="AC33" s="8"/>
      <c r="AD33" s="27"/>
      <c r="AE33" s="8">
        <f>AF31</f>
        <v>2.3230188906059386</v>
      </c>
      <c r="AG33" s="8"/>
      <c r="AH33" s="8"/>
      <c r="AI33" s="8"/>
      <c r="AJ33" s="8"/>
      <c r="AK33" s="8"/>
    </row>
    <row r="34" spans="1:38" x14ac:dyDescent="0.4">
      <c r="A34" s="4" t="s">
        <v>37</v>
      </c>
      <c r="B34" s="6" t="s">
        <v>77</v>
      </c>
      <c r="C34" s="43" t="s">
        <v>15</v>
      </c>
      <c r="D34" s="3">
        <f>206.64+212.17+192.55+122.45</f>
        <v>733.81</v>
      </c>
      <c r="E34" s="3">
        <f>16.46+12.58+9.33+3.68</f>
        <v>42.05</v>
      </c>
      <c r="F34" s="3">
        <f>37.97+31.29+23.83+10.74</f>
        <v>103.82999999999998</v>
      </c>
      <c r="G34" s="3">
        <f>22.73+26.28+22.48+11.64</f>
        <v>83.13000000000001</v>
      </c>
      <c r="H34" s="3">
        <f>18.11+19.24+11.83+11.18</f>
        <v>60.359999999999992</v>
      </c>
      <c r="I34" s="3">
        <f>7.66+9.86+12.12+9.14</f>
        <v>38.78</v>
      </c>
      <c r="J34" s="40">
        <f>D34-E34-F34-G34-H34-I34</f>
        <v>405.66000000000008</v>
      </c>
      <c r="K34" s="3">
        <f>16.46+12.58+9.33+3.68+50</f>
        <v>92.05</v>
      </c>
      <c r="L34" s="3">
        <f>37.97+31.29+23.83+10.74+40</f>
        <v>143.82999999999998</v>
      </c>
      <c r="M34" s="3">
        <f>22.73+26.28+22.48+11.64</f>
        <v>83.13000000000001</v>
      </c>
      <c r="N34" s="41">
        <f>H34+I34</f>
        <v>99.139999999999986</v>
      </c>
      <c r="O34" s="40">
        <f>405.66-50-40</f>
        <v>315.66000000000003</v>
      </c>
      <c r="P34" s="8">
        <f>K34/$D$34</f>
        <v>0.12544119049890298</v>
      </c>
      <c r="Q34" s="8">
        <f>L34/$D$34</f>
        <v>0.19600441531186547</v>
      </c>
      <c r="R34" s="8">
        <f>M34/$D$34</f>
        <v>0.11328545536310491</v>
      </c>
      <c r="S34" s="8">
        <f>N34/$D$34</f>
        <v>0.13510309208105639</v>
      </c>
      <c r="T34" s="8">
        <f>O34/$D$34</f>
        <v>0.4301658467450703</v>
      </c>
      <c r="U34" s="42">
        <f>AVERAGE(P34,P35)</f>
        <v>0.15421806991246118</v>
      </c>
      <c r="V34" s="8">
        <f>AVERAGE(Q34,Q35)</f>
        <v>0.2189675219015092</v>
      </c>
      <c r="W34" s="8">
        <f>AVERAGE(R34,R35)</f>
        <v>0.13236938921949942</v>
      </c>
      <c r="X34" s="8">
        <f>AVERAGE(S34,S35)</f>
        <v>0.11891957627767573</v>
      </c>
      <c r="Y34" s="27">
        <f>AVERAGE(T34,T35)</f>
        <v>0.37552544268885452</v>
      </c>
      <c r="Z34" s="8">
        <f>Z$2*P34</f>
        <v>0.81536773824286934</v>
      </c>
      <c r="AA34" s="8">
        <f t="shared" ref="AA34:AD35" si="16">+AA$2*Q34</f>
        <v>0.68601545359152916</v>
      </c>
      <c r="AB34" s="8">
        <f t="shared" si="16"/>
        <v>0.16992818304465737</v>
      </c>
      <c r="AC34" s="8">
        <f t="shared" si="16"/>
        <v>8.4439432550660248E-2</v>
      </c>
      <c r="AD34" s="27">
        <f t="shared" si="16"/>
        <v>5.3770730843133788E-2</v>
      </c>
      <c r="AE34" s="8">
        <f>SUM(Z34:AD34)</f>
        <v>1.80952153827285</v>
      </c>
      <c r="AF34" s="22">
        <f>AVERAGE(AE34,AE35)</f>
        <v>2.0886232804251827</v>
      </c>
      <c r="AG34" s="8">
        <f>3-LN((D34-K34)/D34)/LN(6.5/8)</f>
        <v>2.3544781952054237</v>
      </c>
      <c r="AH34" s="8">
        <f>3-LN((D34-E34-F34)/D34)/LN(3.5/8)</f>
        <v>2.731888241069135</v>
      </c>
      <c r="AI34" s="8">
        <f>3-LN((D34-K34-L34-M34)/D34)/LN(1.5/8)</f>
        <v>2.6592224049730038</v>
      </c>
      <c r="AJ34" s="8">
        <f>3-LN((D34-K34-L34-M34-N34)/D34)/LN(0.625/8)</f>
        <v>2.6691105719120989</v>
      </c>
      <c r="AK34" s="8">
        <f>AVERAGE(AG34:AJ34)</f>
        <v>2.603674853289915</v>
      </c>
      <c r="AL34" s="22">
        <f>AVERAGE(AK34,AK35)</f>
        <v>2.4307567854994234</v>
      </c>
    </row>
    <row r="35" spans="1:38" x14ac:dyDescent="0.4">
      <c r="A35" s="4" t="s">
        <v>38</v>
      </c>
      <c r="B35" s="6" t="s">
        <v>77</v>
      </c>
      <c r="C35" s="43" t="s">
        <v>15</v>
      </c>
      <c r="D35" s="3">
        <f>196.67+178.7+222.57</f>
        <v>597.94000000000005</v>
      </c>
      <c r="E35" s="3">
        <f>46.02+53.82+59.58</f>
        <v>159.42000000000002</v>
      </c>
      <c r="F35" s="3">
        <f>61.86+60.59+62.21</f>
        <v>184.66</v>
      </c>
      <c r="G35" s="3">
        <f>30.79+27.33+32.44</f>
        <v>90.56</v>
      </c>
      <c r="H35" s="3">
        <f>16.71+11.82+14.83</f>
        <v>43.36</v>
      </c>
      <c r="I35" s="3">
        <f>7.2+3.8+7.07</f>
        <v>18.07</v>
      </c>
      <c r="J35" s="40">
        <f>D35-E35-F35-G35-H35-I35</f>
        <v>101.87000000000003</v>
      </c>
      <c r="K35" s="3">
        <f>46.02+53.82+59.58-50</f>
        <v>109.42000000000002</v>
      </c>
      <c r="L35" s="3">
        <f>61.86+60.59+62.21-40</f>
        <v>144.66</v>
      </c>
      <c r="M35" s="3">
        <f>30.79+27.33+32.44</f>
        <v>90.56</v>
      </c>
      <c r="N35" s="41">
        <f>H35+I35</f>
        <v>61.43</v>
      </c>
      <c r="O35" s="40">
        <f>101.87+50+40</f>
        <v>191.87</v>
      </c>
      <c r="P35" s="8">
        <f>K35/$D$35</f>
        <v>0.18299494932601934</v>
      </c>
      <c r="Q35" s="8">
        <f>L35/$D$35</f>
        <v>0.24193062849115293</v>
      </c>
      <c r="R35" s="8">
        <f>M35/$D$35</f>
        <v>0.1514533230758939</v>
      </c>
      <c r="S35" s="8">
        <f>N35/$D$35</f>
        <v>0.10273606047429507</v>
      </c>
      <c r="T35" s="8">
        <f>O35/$D$35</f>
        <v>0.32088503863263873</v>
      </c>
      <c r="Z35" s="8">
        <f>Z$2*P35</f>
        <v>1.1894671706191258</v>
      </c>
      <c r="AA35" s="8">
        <f t="shared" si="16"/>
        <v>0.84675719971903529</v>
      </c>
      <c r="AB35" s="8">
        <f t="shared" si="16"/>
        <v>0.22717998461384087</v>
      </c>
      <c r="AC35" s="8">
        <f t="shared" si="16"/>
        <v>6.4210037796434416E-2</v>
      </c>
      <c r="AD35" s="27">
        <f t="shared" si="16"/>
        <v>4.0110629829079841E-2</v>
      </c>
      <c r="AE35" s="8">
        <f>SUM(Z35:AD35)</f>
        <v>2.3677250225775159</v>
      </c>
      <c r="AG35" s="8">
        <f>3-LN((D35-K35)/D35)/LN(6.5/8)</f>
        <v>2.0266296451947046</v>
      </c>
      <c r="AH35" s="8">
        <f>3-LN((D35-E35-F35)/D35)/LN(3.5/8)</f>
        <v>1.9636752320693889</v>
      </c>
      <c r="AI35" s="8">
        <f>3-LN((D35-K35-L35-M35)/D35)/LN(1.5/8)</f>
        <v>2.4869008665621521</v>
      </c>
      <c r="AJ35" s="8">
        <f>3-LN((D35-K35-L35-M35-N35)/D35)/LN(0.625/8)</f>
        <v>2.5541491270094823</v>
      </c>
      <c r="AK35" s="8">
        <f>AVERAGE(AG35:AJ35)</f>
        <v>2.2578387177089319</v>
      </c>
    </row>
    <row r="36" spans="1:38" x14ac:dyDescent="0.4">
      <c r="A36" s="4"/>
      <c r="B36" s="6" t="s">
        <v>77</v>
      </c>
      <c r="C36" s="43"/>
      <c r="J36" s="40"/>
      <c r="N36" s="41"/>
      <c r="O36" s="40"/>
      <c r="P36" s="8">
        <f>U34</f>
        <v>0.15421806991246118</v>
      </c>
      <c r="Q36" s="8">
        <f>V34</f>
        <v>0.2189675219015092</v>
      </c>
      <c r="R36" s="8">
        <f>W34</f>
        <v>0.13236938921949942</v>
      </c>
      <c r="S36" s="8">
        <f>X34</f>
        <v>0.11891957627767573</v>
      </c>
      <c r="T36" s="8">
        <f>Y34</f>
        <v>0.37552544268885452</v>
      </c>
      <c r="Z36" s="8"/>
      <c r="AA36" s="8"/>
      <c r="AB36" s="8"/>
      <c r="AC36" s="8"/>
      <c r="AD36" s="27"/>
      <c r="AE36" s="8">
        <f>AF34</f>
        <v>2.0886232804251827</v>
      </c>
      <c r="AG36" s="8"/>
      <c r="AH36" s="8"/>
      <c r="AI36" s="8"/>
      <c r="AJ36" s="8"/>
      <c r="AK36" s="8"/>
    </row>
    <row r="37" spans="1:38" x14ac:dyDescent="0.4">
      <c r="A37" s="4" t="s">
        <v>39</v>
      </c>
      <c r="B37" s="6" t="s">
        <v>77</v>
      </c>
      <c r="C37" s="43" t="s">
        <v>18</v>
      </c>
      <c r="D37" s="3">
        <f>206.98+202.01+240.13</f>
        <v>649.12</v>
      </c>
      <c r="E37" s="3">
        <f>39.54+13.44+10.34</f>
        <v>63.319999999999993</v>
      </c>
      <c r="F37" s="3">
        <f>53.08+35.06+35.1</f>
        <v>123.24000000000001</v>
      </c>
      <c r="G37" s="3">
        <f>24.68+27.09+32.17</f>
        <v>83.94</v>
      </c>
      <c r="H37" s="3">
        <v>61.3</v>
      </c>
      <c r="I37" s="3">
        <f>3.89+13.14+19.69</f>
        <v>36.72</v>
      </c>
      <c r="J37" s="40">
        <f>D37-E37-F37-G37-H37-I37</f>
        <v>280.59999999999991</v>
      </c>
      <c r="K37" s="3">
        <f>39.54+13.44+10.34+30</f>
        <v>93.32</v>
      </c>
      <c r="L37" s="3">
        <f>53.08+35.06+35.1+20</f>
        <v>143.24</v>
      </c>
      <c r="M37" s="3">
        <f>24.68+27.09+32.17+10</f>
        <v>93.94</v>
      </c>
      <c r="N37" s="41">
        <f>H37+I37</f>
        <v>98.02</v>
      </c>
      <c r="O37" s="40">
        <f>280.6-30-20-10</f>
        <v>220.60000000000002</v>
      </c>
      <c r="P37" s="8">
        <f>K37/$D$37</f>
        <v>0.14376386492482129</v>
      </c>
      <c r="Q37" s="8">
        <f>L37/$D$37</f>
        <v>0.22066798126694603</v>
      </c>
      <c r="R37" s="8">
        <f>M37/$D$37</f>
        <v>0.14471900419028838</v>
      </c>
      <c r="S37" s="8">
        <f>N37/$D$37</f>
        <v>0.1510044367759428</v>
      </c>
      <c r="T37" s="8">
        <f>O37/$D$37</f>
        <v>0.33984471284200152</v>
      </c>
      <c r="U37" s="42">
        <f>AVERAGE(P37,P38)</f>
        <v>0.16491312487248505</v>
      </c>
      <c r="V37" s="8">
        <f>AVERAGE(Q37,Q38)</f>
        <v>0.23501831252276384</v>
      </c>
      <c r="W37" s="8">
        <f>AVERAGE(R37,R38)</f>
        <v>0.16751512287188297</v>
      </c>
      <c r="X37" s="8">
        <f>AVERAGE(S37,S38)</f>
        <v>0.16859313368385564</v>
      </c>
      <c r="Y37" s="27">
        <f>AVERAGE(T37,T38)</f>
        <v>0.26396030604901249</v>
      </c>
      <c r="Z37" s="8">
        <f>Z$2*P37</f>
        <v>0.93446512201133847</v>
      </c>
      <c r="AA37" s="8">
        <f t="shared" ref="AA37:AD38" si="17">+AA$2*Q37</f>
        <v>0.77233793443431109</v>
      </c>
      <c r="AB37" s="8">
        <f t="shared" si="17"/>
        <v>0.21707850628543257</v>
      </c>
      <c r="AC37" s="8">
        <f t="shared" si="17"/>
        <v>9.4377772984964248E-2</v>
      </c>
      <c r="AD37" s="27">
        <f t="shared" si="17"/>
        <v>4.248058910525019E-2</v>
      </c>
      <c r="AE37" s="8">
        <f>SUM(Z37:AD37)</f>
        <v>2.0607399248212968</v>
      </c>
      <c r="AF37" s="22">
        <f>AVERAGE(AE37,AE38)</f>
        <v>2.2841378366171874</v>
      </c>
      <c r="AG37" s="8">
        <f>3-LN((D37-K37)/D37)/LN(6.5/8)</f>
        <v>2.2525064680510138</v>
      </c>
      <c r="AH37" s="8">
        <f>3-LN((D37-E37-F37)/D37)/LN(3.5/8)</f>
        <v>2.5901172085725621</v>
      </c>
      <c r="AI37" s="8">
        <f>3-LN((D37-K37-L37-M37)/D37)/LN(1.5/8)</f>
        <v>2.5748934005032273</v>
      </c>
      <c r="AJ37" s="8">
        <f>3-LN((D37-K37-L37-M37-N37)/D37)/LN(0.625/8)</f>
        <v>2.57666612918492</v>
      </c>
      <c r="AK37" s="8">
        <f>AVERAGE(AG37:AJ37)</f>
        <v>2.4985458015779312</v>
      </c>
      <c r="AL37" s="22">
        <f>AVERAGE(AK37,AK38)</f>
        <v>2.3588051346368708</v>
      </c>
    </row>
    <row r="38" spans="1:38" x14ac:dyDescent="0.4">
      <c r="A38" s="4" t="s">
        <v>40</v>
      </c>
      <c r="B38" s="6" t="s">
        <v>77</v>
      </c>
      <c r="C38" s="43" t="s">
        <v>18</v>
      </c>
      <c r="D38" s="3">
        <f>221.53+188.23+176.28</f>
        <v>586.04</v>
      </c>
      <c r="E38" s="3">
        <f>59.36+47.97+31.71</f>
        <v>139.04</v>
      </c>
      <c r="F38" s="3">
        <f>72.63+52.33+41.18</f>
        <v>166.14</v>
      </c>
      <c r="G38" s="3">
        <f>44.86+42.5+34.17</f>
        <v>121.53</v>
      </c>
      <c r="H38" s="3">
        <f>24.65+26.42+27.73</f>
        <v>78.8</v>
      </c>
      <c r="I38" s="3">
        <f>6.38+8.43+15.5</f>
        <v>30.31</v>
      </c>
      <c r="J38" s="40">
        <f>D38-E38-F38-G38-H38-I38</f>
        <v>50.220000000000013</v>
      </c>
      <c r="K38" s="3">
        <f>59.36+47.97+31.71-30</f>
        <v>109.03999999999999</v>
      </c>
      <c r="L38" s="3">
        <f>72.63+52.33+41.18-20</f>
        <v>146.13999999999999</v>
      </c>
      <c r="M38" s="3">
        <f>44.86+42.5+34.17-10</f>
        <v>111.53</v>
      </c>
      <c r="N38" s="41">
        <f>H38+I38</f>
        <v>109.11</v>
      </c>
      <c r="O38" s="40">
        <f>50.22+30+20+10</f>
        <v>110.22</v>
      </c>
      <c r="P38" s="8">
        <f>K38/$D$38</f>
        <v>0.18606238482014878</v>
      </c>
      <c r="Q38" s="8">
        <f>L38/$D$38</f>
        <v>0.24936864377858167</v>
      </c>
      <c r="R38" s="8">
        <f>M38/$D$38</f>
        <v>0.19031124155347759</v>
      </c>
      <c r="S38" s="8">
        <f>N38/$D$38</f>
        <v>0.18618183059176849</v>
      </c>
      <c r="T38" s="8">
        <f>O38/$D$38</f>
        <v>0.1880758992560235</v>
      </c>
      <c r="Z38" s="8">
        <f>Z$2*P38</f>
        <v>1.209405501330967</v>
      </c>
      <c r="AA38" s="8">
        <f t="shared" si="17"/>
        <v>0.87279025322503589</v>
      </c>
      <c r="AB38" s="8">
        <f t="shared" si="17"/>
        <v>0.2854668623302164</v>
      </c>
      <c r="AC38" s="8">
        <f t="shared" si="17"/>
        <v>0.11636364411985531</v>
      </c>
      <c r="AD38" s="27">
        <f t="shared" si="17"/>
        <v>2.3509487407002937E-2</v>
      </c>
      <c r="AE38" s="8">
        <f>SUM(Z38:AD38)</f>
        <v>2.507535748413078</v>
      </c>
      <c r="AG38" s="8">
        <f>3-LN((D38-K38)/D38)/LN(6.5/8)</f>
        <v>2.0085138433907344</v>
      </c>
      <c r="AH38" s="8">
        <f>3-LN((D38-E38-F38)/D38)/LN(3.5/8)</f>
        <v>2.1102566995782666</v>
      </c>
      <c r="AI38" s="8">
        <f>3-LN((D38-K38-L38-M38)/D38)/LN(1.5/8)</f>
        <v>2.4128886273728423</v>
      </c>
      <c r="AJ38" s="8">
        <f>3-LN((D38-K38-L38-M38-N38)/D38)/LN(0.625/8)</f>
        <v>2.3445987004413977</v>
      </c>
      <c r="AK38" s="8">
        <f>AVERAGE(AG38:AJ38)</f>
        <v>2.2190644676958104</v>
      </c>
    </row>
    <row r="39" spans="1:38" x14ac:dyDescent="0.4">
      <c r="B39" s="6" t="s">
        <v>77</v>
      </c>
      <c r="P39" s="8">
        <f>U37</f>
        <v>0.16491312487248505</v>
      </c>
      <c r="Q39" s="8">
        <f>V37</f>
        <v>0.23501831252276384</v>
      </c>
      <c r="R39" s="8">
        <f>W37</f>
        <v>0.16751512287188297</v>
      </c>
      <c r="S39" s="8">
        <f>X37</f>
        <v>0.16859313368385564</v>
      </c>
      <c r="T39" s="8">
        <f>Y37</f>
        <v>0.26396030604901249</v>
      </c>
      <c r="AE39" s="8">
        <f>AF37</f>
        <v>2.2841378366171874</v>
      </c>
    </row>
    <row r="40" spans="1:38" x14ac:dyDescent="0.4">
      <c r="A40" s="4"/>
      <c r="C40" s="39"/>
      <c r="P40" s="8"/>
      <c r="Q40" s="8"/>
      <c r="R40" s="8"/>
      <c r="S40" s="8"/>
      <c r="T40" s="27"/>
    </row>
    <row r="41" spans="1:38" x14ac:dyDescent="0.4">
      <c r="A41" s="4"/>
      <c r="B41" s="4"/>
      <c r="C41" s="43"/>
      <c r="P41" s="8"/>
      <c r="Q41" s="8"/>
      <c r="R41" s="8"/>
      <c r="S41" s="8"/>
      <c r="T41" s="27"/>
    </row>
    <row r="42" spans="1:38" x14ac:dyDescent="0.4">
      <c r="A42" s="4"/>
      <c r="B42" s="4"/>
      <c r="C42" s="43"/>
      <c r="P42" s="8"/>
      <c r="Q42" s="8"/>
      <c r="R42" s="8"/>
      <c r="S42" s="8"/>
      <c r="T42" s="27"/>
    </row>
    <row r="43" spans="1:38" x14ac:dyDescent="0.4">
      <c r="A43" s="4"/>
      <c r="C43" s="39"/>
      <c r="P43" s="8"/>
      <c r="Q43" s="8"/>
      <c r="R43" s="8"/>
      <c r="S43" s="8"/>
      <c r="T43" s="27"/>
    </row>
    <row r="44" spans="1:38" x14ac:dyDescent="0.4">
      <c r="A44" s="4"/>
      <c r="B44" s="4"/>
      <c r="C44" s="43"/>
      <c r="P44" s="8"/>
      <c r="Q44" s="8"/>
      <c r="R44" s="8"/>
      <c r="S44" s="8"/>
      <c r="T44" s="27"/>
    </row>
    <row r="45" spans="1:38" x14ac:dyDescent="0.4">
      <c r="A45" s="4"/>
      <c r="B45" s="4"/>
      <c r="C45" s="43"/>
      <c r="P45" s="8"/>
      <c r="Q45" s="8"/>
      <c r="R45" s="8"/>
      <c r="S45" s="8"/>
      <c r="T45" s="27"/>
    </row>
    <row r="46" spans="1:38" x14ac:dyDescent="0.4">
      <c r="A46" s="4"/>
      <c r="C46" s="39"/>
      <c r="P46" s="8"/>
      <c r="Q46" s="8"/>
      <c r="R46" s="8"/>
      <c r="S46" s="8"/>
      <c r="T46" s="27"/>
    </row>
    <row r="47" spans="1:38" x14ac:dyDescent="0.4">
      <c r="A47" s="4"/>
      <c r="B47" s="4"/>
      <c r="C47" s="43"/>
      <c r="P47" s="8"/>
      <c r="Q47" s="8"/>
      <c r="R47" s="8"/>
      <c r="S47" s="8"/>
      <c r="T47" s="27"/>
    </row>
    <row r="48" spans="1:38" x14ac:dyDescent="0.4">
      <c r="A48" s="4"/>
      <c r="B48" s="4"/>
      <c r="C48" s="43"/>
      <c r="P48" s="8"/>
      <c r="Q48" s="8"/>
      <c r="R48" s="8"/>
      <c r="S48" s="8"/>
      <c r="T48" s="27"/>
    </row>
    <row r="49" spans="1:20" x14ac:dyDescent="0.4">
      <c r="A49" s="4"/>
      <c r="C49" s="39"/>
      <c r="P49" s="8"/>
      <c r="Q49" s="8"/>
      <c r="R49" s="8"/>
      <c r="S49" s="8"/>
      <c r="T49" s="27"/>
    </row>
    <row r="50" spans="1:20" x14ac:dyDescent="0.4">
      <c r="A50" s="4"/>
      <c r="B50" s="4"/>
      <c r="C50" s="43"/>
      <c r="P50" s="8"/>
      <c r="Q50" s="8"/>
      <c r="R50" s="8"/>
      <c r="S50" s="8"/>
      <c r="T50" s="27"/>
    </row>
    <row r="51" spans="1:20" x14ac:dyDescent="0.4">
      <c r="A51" s="4"/>
      <c r="B51" s="4"/>
      <c r="C51" s="43"/>
      <c r="P51" s="8"/>
      <c r="Q51" s="8"/>
      <c r="R51" s="8"/>
      <c r="S51" s="8"/>
      <c r="T51" s="27"/>
    </row>
    <row r="52" spans="1:20" x14ac:dyDescent="0.4">
      <c r="A52" s="4"/>
      <c r="C52" s="39"/>
      <c r="P52" s="8"/>
      <c r="Q52" s="8"/>
      <c r="R52" s="8"/>
      <c r="S52" s="8"/>
      <c r="T52" s="27"/>
    </row>
    <row r="53" spans="1:20" x14ac:dyDescent="0.4">
      <c r="A53" s="4"/>
      <c r="C53" s="39"/>
      <c r="P53" s="8"/>
      <c r="Q53" s="8"/>
      <c r="R53" s="8"/>
      <c r="S53" s="8"/>
      <c r="T53" s="27"/>
    </row>
    <row r="54" spans="1:20" x14ac:dyDescent="0.4">
      <c r="A54" s="4"/>
      <c r="B54" s="4"/>
      <c r="C54" s="43"/>
      <c r="P54" s="8"/>
      <c r="Q54" s="8"/>
      <c r="R54" s="8"/>
      <c r="S54" s="8"/>
      <c r="T54" s="27"/>
    </row>
    <row r="55" spans="1:20" x14ac:dyDescent="0.4">
      <c r="A55" s="4"/>
      <c r="B55" s="4"/>
      <c r="C55" s="43"/>
      <c r="P55" s="8"/>
      <c r="Q55" s="8"/>
      <c r="R55" s="8"/>
      <c r="S55" s="8"/>
      <c r="T55" s="27"/>
    </row>
    <row r="57" spans="1:20" x14ac:dyDescent="0.4">
      <c r="A57" s="4"/>
      <c r="B57" s="4"/>
      <c r="C57" s="44"/>
    </row>
    <row r="58" spans="1:20" x14ac:dyDescent="0.4">
      <c r="A58" s="4"/>
      <c r="B58" s="4"/>
      <c r="C58" s="44"/>
    </row>
    <row r="59" spans="1:20" x14ac:dyDescent="0.4">
      <c r="A59" s="4"/>
      <c r="B59" s="4"/>
      <c r="C59" s="44"/>
    </row>
    <row r="60" spans="1:20" x14ac:dyDescent="0.4">
      <c r="A60" s="4"/>
      <c r="B60" s="4"/>
      <c r="C60" s="44"/>
    </row>
    <row r="61" spans="1:20" x14ac:dyDescent="0.4">
      <c r="A61" s="4"/>
      <c r="B61" s="4"/>
      <c r="C61" s="44"/>
    </row>
    <row r="62" spans="1:20" x14ac:dyDescent="0.4">
      <c r="A62" s="4"/>
      <c r="B62" s="4"/>
      <c r="C62" s="44"/>
    </row>
    <row r="63" spans="1:20" x14ac:dyDescent="0.4">
      <c r="A63" s="4"/>
      <c r="B63" s="4"/>
      <c r="C63" s="44"/>
    </row>
    <row r="64" spans="1:20" x14ac:dyDescent="0.4">
      <c r="A64" s="4"/>
      <c r="B64" s="4"/>
      <c r="C64" s="44"/>
    </row>
    <row r="65" spans="1:3" x14ac:dyDescent="0.4">
      <c r="A65" s="4"/>
      <c r="B65" s="4"/>
      <c r="C65" s="44"/>
    </row>
    <row r="66" spans="1:3" x14ac:dyDescent="0.4">
      <c r="A66" s="4"/>
      <c r="B66" s="4"/>
      <c r="C66" s="44"/>
    </row>
    <row r="67" spans="1:3" x14ac:dyDescent="0.4">
      <c r="A67" s="4"/>
      <c r="B67" s="4"/>
      <c r="C67" s="44"/>
    </row>
    <row r="68" spans="1:3" x14ac:dyDescent="0.4">
      <c r="A68" s="4"/>
      <c r="B68" s="4"/>
      <c r="C68" s="44"/>
    </row>
    <row r="69" spans="1:3" x14ac:dyDescent="0.4">
      <c r="A69" s="4"/>
      <c r="B69" s="4"/>
      <c r="C69" s="44"/>
    </row>
    <row r="70" spans="1:3" x14ac:dyDescent="0.4">
      <c r="A70" s="4"/>
      <c r="B70" s="4"/>
      <c r="C70" s="44"/>
    </row>
    <row r="71" spans="1:3" x14ac:dyDescent="0.4">
      <c r="A71" s="4"/>
      <c r="B71" s="4"/>
      <c r="C71" s="44"/>
    </row>
    <row r="72" spans="1:3" x14ac:dyDescent="0.4">
      <c r="A72" s="4"/>
      <c r="B72" s="4"/>
      <c r="C72" s="44"/>
    </row>
    <row r="73" spans="1:3" x14ac:dyDescent="0.4">
      <c r="A73" s="4"/>
      <c r="B73" s="4"/>
      <c r="C73" s="44"/>
    </row>
    <row r="74" spans="1:3" x14ac:dyDescent="0.4">
      <c r="A74" s="4"/>
      <c r="B74" s="4"/>
      <c r="C74" s="44"/>
    </row>
    <row r="75" spans="1:3" x14ac:dyDescent="0.4">
      <c r="A75" s="4"/>
      <c r="B75" s="4"/>
      <c r="C75" s="4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FCE2-C3EB-4C44-928B-C6E11F56C528}">
  <dimension ref="A1:AK37"/>
  <sheetViews>
    <sheetView zoomScale="80" zoomScaleNormal="80" workbookViewId="0">
      <selection activeCell="I16" sqref="I16"/>
    </sheetView>
  </sheetViews>
  <sheetFormatPr defaultRowHeight="15.75" x14ac:dyDescent="0.4"/>
  <cols>
    <col min="1" max="1" width="11.19921875" style="10" customWidth="1"/>
    <col min="2" max="3" width="9.06640625" style="10"/>
    <col min="4" max="4" width="9.06640625" style="7"/>
    <col min="5" max="19" width="9.06640625" style="10"/>
    <col min="20" max="20" width="10.796875" style="10" bestFit="1" customWidth="1"/>
    <col min="21" max="21" width="9.06640625" style="10"/>
    <col min="22" max="22" width="14.1328125" style="3" bestFit="1" customWidth="1"/>
    <col min="23" max="27" width="9.06640625" style="10"/>
    <col min="28" max="28" width="11.73046875" style="10" customWidth="1"/>
    <col min="29" max="30" width="9.06640625" style="10"/>
    <col min="31" max="31" width="12.265625" style="10" customWidth="1"/>
    <col min="32" max="32" width="13.86328125" style="10" customWidth="1"/>
    <col min="33" max="254" width="9.06640625" style="10"/>
    <col min="255" max="255" width="11.19921875" style="10" customWidth="1"/>
    <col min="256" max="275" width="9.06640625" style="10"/>
    <col min="276" max="276" width="10.796875" style="10" bestFit="1" customWidth="1"/>
    <col min="277" max="277" width="9.06640625" style="10"/>
    <col min="278" max="278" width="14.1328125" style="10" bestFit="1" customWidth="1"/>
    <col min="279" max="283" width="9.06640625" style="10"/>
    <col min="284" max="284" width="11.73046875" style="10" customWidth="1"/>
    <col min="285" max="286" width="9.06640625" style="10"/>
    <col min="287" max="287" width="12.265625" style="10" customWidth="1"/>
    <col min="288" max="288" width="13.86328125" style="10" customWidth="1"/>
    <col min="289" max="510" width="9.06640625" style="10"/>
    <col min="511" max="511" width="11.19921875" style="10" customWidth="1"/>
    <col min="512" max="531" width="9.06640625" style="10"/>
    <col min="532" max="532" width="10.796875" style="10" bestFit="1" customWidth="1"/>
    <col min="533" max="533" width="9.06640625" style="10"/>
    <col min="534" max="534" width="14.1328125" style="10" bestFit="1" customWidth="1"/>
    <col min="535" max="539" width="9.06640625" style="10"/>
    <col min="540" max="540" width="11.73046875" style="10" customWidth="1"/>
    <col min="541" max="542" width="9.06640625" style="10"/>
    <col min="543" max="543" width="12.265625" style="10" customWidth="1"/>
    <col min="544" max="544" width="13.86328125" style="10" customWidth="1"/>
    <col min="545" max="766" width="9.06640625" style="10"/>
    <col min="767" max="767" width="11.19921875" style="10" customWidth="1"/>
    <col min="768" max="787" width="9.06640625" style="10"/>
    <col min="788" max="788" width="10.796875" style="10" bestFit="1" customWidth="1"/>
    <col min="789" max="789" width="9.06640625" style="10"/>
    <col min="790" max="790" width="14.1328125" style="10" bestFit="1" customWidth="1"/>
    <col min="791" max="795" width="9.06640625" style="10"/>
    <col min="796" max="796" width="11.73046875" style="10" customWidth="1"/>
    <col min="797" max="798" width="9.06640625" style="10"/>
    <col min="799" max="799" width="12.265625" style="10" customWidth="1"/>
    <col min="800" max="800" width="13.86328125" style="10" customWidth="1"/>
    <col min="801" max="1022" width="9.06640625" style="10"/>
    <col min="1023" max="1023" width="11.19921875" style="10" customWidth="1"/>
    <col min="1024" max="1043" width="9.06640625" style="10"/>
    <col min="1044" max="1044" width="10.796875" style="10" bestFit="1" customWidth="1"/>
    <col min="1045" max="1045" width="9.06640625" style="10"/>
    <col min="1046" max="1046" width="14.1328125" style="10" bestFit="1" customWidth="1"/>
    <col min="1047" max="1051" width="9.06640625" style="10"/>
    <col min="1052" max="1052" width="11.73046875" style="10" customWidth="1"/>
    <col min="1053" max="1054" width="9.06640625" style="10"/>
    <col min="1055" max="1055" width="12.265625" style="10" customWidth="1"/>
    <col min="1056" max="1056" width="13.86328125" style="10" customWidth="1"/>
    <col min="1057" max="1278" width="9.06640625" style="10"/>
    <col min="1279" max="1279" width="11.19921875" style="10" customWidth="1"/>
    <col min="1280" max="1299" width="9.06640625" style="10"/>
    <col min="1300" max="1300" width="10.796875" style="10" bestFit="1" customWidth="1"/>
    <col min="1301" max="1301" width="9.06640625" style="10"/>
    <col min="1302" max="1302" width="14.1328125" style="10" bestFit="1" customWidth="1"/>
    <col min="1303" max="1307" width="9.06640625" style="10"/>
    <col min="1308" max="1308" width="11.73046875" style="10" customWidth="1"/>
    <col min="1309" max="1310" width="9.06640625" style="10"/>
    <col min="1311" max="1311" width="12.265625" style="10" customWidth="1"/>
    <col min="1312" max="1312" width="13.86328125" style="10" customWidth="1"/>
    <col min="1313" max="1534" width="9.06640625" style="10"/>
    <col min="1535" max="1535" width="11.19921875" style="10" customWidth="1"/>
    <col min="1536" max="1555" width="9.06640625" style="10"/>
    <col min="1556" max="1556" width="10.796875" style="10" bestFit="1" customWidth="1"/>
    <col min="1557" max="1557" width="9.06640625" style="10"/>
    <col min="1558" max="1558" width="14.1328125" style="10" bestFit="1" customWidth="1"/>
    <col min="1559" max="1563" width="9.06640625" style="10"/>
    <col min="1564" max="1564" width="11.73046875" style="10" customWidth="1"/>
    <col min="1565" max="1566" width="9.06640625" style="10"/>
    <col min="1567" max="1567" width="12.265625" style="10" customWidth="1"/>
    <col min="1568" max="1568" width="13.86328125" style="10" customWidth="1"/>
    <col min="1569" max="1790" width="9.06640625" style="10"/>
    <col min="1791" max="1791" width="11.19921875" style="10" customWidth="1"/>
    <col min="1792" max="1811" width="9.06640625" style="10"/>
    <col min="1812" max="1812" width="10.796875" style="10" bestFit="1" customWidth="1"/>
    <col min="1813" max="1813" width="9.06640625" style="10"/>
    <col min="1814" max="1814" width="14.1328125" style="10" bestFit="1" customWidth="1"/>
    <col min="1815" max="1819" width="9.06640625" style="10"/>
    <col min="1820" max="1820" width="11.73046875" style="10" customWidth="1"/>
    <col min="1821" max="1822" width="9.06640625" style="10"/>
    <col min="1823" max="1823" width="12.265625" style="10" customWidth="1"/>
    <col min="1824" max="1824" width="13.86328125" style="10" customWidth="1"/>
    <col min="1825" max="2046" width="9.06640625" style="10"/>
    <col min="2047" max="2047" width="11.19921875" style="10" customWidth="1"/>
    <col min="2048" max="2067" width="9.06640625" style="10"/>
    <col min="2068" max="2068" width="10.796875" style="10" bestFit="1" customWidth="1"/>
    <col min="2069" max="2069" width="9.06640625" style="10"/>
    <col min="2070" max="2070" width="14.1328125" style="10" bestFit="1" customWidth="1"/>
    <col min="2071" max="2075" width="9.06640625" style="10"/>
    <col min="2076" max="2076" width="11.73046875" style="10" customWidth="1"/>
    <col min="2077" max="2078" width="9.06640625" style="10"/>
    <col min="2079" max="2079" width="12.265625" style="10" customWidth="1"/>
    <col min="2080" max="2080" width="13.86328125" style="10" customWidth="1"/>
    <col min="2081" max="2302" width="9.06640625" style="10"/>
    <col min="2303" max="2303" width="11.19921875" style="10" customWidth="1"/>
    <col min="2304" max="2323" width="9.06640625" style="10"/>
    <col min="2324" max="2324" width="10.796875" style="10" bestFit="1" customWidth="1"/>
    <col min="2325" max="2325" width="9.06640625" style="10"/>
    <col min="2326" max="2326" width="14.1328125" style="10" bestFit="1" customWidth="1"/>
    <col min="2327" max="2331" width="9.06640625" style="10"/>
    <col min="2332" max="2332" width="11.73046875" style="10" customWidth="1"/>
    <col min="2333" max="2334" width="9.06640625" style="10"/>
    <col min="2335" max="2335" width="12.265625" style="10" customWidth="1"/>
    <col min="2336" max="2336" width="13.86328125" style="10" customWidth="1"/>
    <col min="2337" max="2558" width="9.06640625" style="10"/>
    <col min="2559" max="2559" width="11.19921875" style="10" customWidth="1"/>
    <col min="2560" max="2579" width="9.06640625" style="10"/>
    <col min="2580" max="2580" width="10.796875" style="10" bestFit="1" customWidth="1"/>
    <col min="2581" max="2581" width="9.06640625" style="10"/>
    <col min="2582" max="2582" width="14.1328125" style="10" bestFit="1" customWidth="1"/>
    <col min="2583" max="2587" width="9.06640625" style="10"/>
    <col min="2588" max="2588" width="11.73046875" style="10" customWidth="1"/>
    <col min="2589" max="2590" width="9.06640625" style="10"/>
    <col min="2591" max="2591" width="12.265625" style="10" customWidth="1"/>
    <col min="2592" max="2592" width="13.86328125" style="10" customWidth="1"/>
    <col min="2593" max="2814" width="9.06640625" style="10"/>
    <col min="2815" max="2815" width="11.19921875" style="10" customWidth="1"/>
    <col min="2816" max="2835" width="9.06640625" style="10"/>
    <col min="2836" max="2836" width="10.796875" style="10" bestFit="1" customWidth="1"/>
    <col min="2837" max="2837" width="9.06640625" style="10"/>
    <col min="2838" max="2838" width="14.1328125" style="10" bestFit="1" customWidth="1"/>
    <col min="2839" max="2843" width="9.06640625" style="10"/>
    <col min="2844" max="2844" width="11.73046875" style="10" customWidth="1"/>
    <col min="2845" max="2846" width="9.06640625" style="10"/>
    <col min="2847" max="2847" width="12.265625" style="10" customWidth="1"/>
    <col min="2848" max="2848" width="13.86328125" style="10" customWidth="1"/>
    <col min="2849" max="3070" width="9.06640625" style="10"/>
    <col min="3071" max="3071" width="11.19921875" style="10" customWidth="1"/>
    <col min="3072" max="3091" width="9.06640625" style="10"/>
    <col min="3092" max="3092" width="10.796875" style="10" bestFit="1" customWidth="1"/>
    <col min="3093" max="3093" width="9.06640625" style="10"/>
    <col min="3094" max="3094" width="14.1328125" style="10" bestFit="1" customWidth="1"/>
    <col min="3095" max="3099" width="9.06640625" style="10"/>
    <col min="3100" max="3100" width="11.73046875" style="10" customWidth="1"/>
    <col min="3101" max="3102" width="9.06640625" style="10"/>
    <col min="3103" max="3103" width="12.265625" style="10" customWidth="1"/>
    <col min="3104" max="3104" width="13.86328125" style="10" customWidth="1"/>
    <col min="3105" max="3326" width="9.06640625" style="10"/>
    <col min="3327" max="3327" width="11.19921875" style="10" customWidth="1"/>
    <col min="3328" max="3347" width="9.06640625" style="10"/>
    <col min="3348" max="3348" width="10.796875" style="10" bestFit="1" customWidth="1"/>
    <col min="3349" max="3349" width="9.06640625" style="10"/>
    <col min="3350" max="3350" width="14.1328125" style="10" bestFit="1" customWidth="1"/>
    <col min="3351" max="3355" width="9.06640625" style="10"/>
    <col min="3356" max="3356" width="11.73046875" style="10" customWidth="1"/>
    <col min="3357" max="3358" width="9.06640625" style="10"/>
    <col min="3359" max="3359" width="12.265625" style="10" customWidth="1"/>
    <col min="3360" max="3360" width="13.86328125" style="10" customWidth="1"/>
    <col min="3361" max="3582" width="9.06640625" style="10"/>
    <col min="3583" max="3583" width="11.19921875" style="10" customWidth="1"/>
    <col min="3584" max="3603" width="9.06640625" style="10"/>
    <col min="3604" max="3604" width="10.796875" style="10" bestFit="1" customWidth="1"/>
    <col min="3605" max="3605" width="9.06640625" style="10"/>
    <col min="3606" max="3606" width="14.1328125" style="10" bestFit="1" customWidth="1"/>
    <col min="3607" max="3611" width="9.06640625" style="10"/>
    <col min="3612" max="3612" width="11.73046875" style="10" customWidth="1"/>
    <col min="3613" max="3614" width="9.06640625" style="10"/>
    <col min="3615" max="3615" width="12.265625" style="10" customWidth="1"/>
    <col min="3616" max="3616" width="13.86328125" style="10" customWidth="1"/>
    <col min="3617" max="3838" width="9.06640625" style="10"/>
    <col min="3839" max="3839" width="11.19921875" style="10" customWidth="1"/>
    <col min="3840" max="3859" width="9.06640625" style="10"/>
    <col min="3860" max="3860" width="10.796875" style="10" bestFit="1" customWidth="1"/>
    <col min="3861" max="3861" width="9.06640625" style="10"/>
    <col min="3862" max="3862" width="14.1328125" style="10" bestFit="1" customWidth="1"/>
    <col min="3863" max="3867" width="9.06640625" style="10"/>
    <col min="3868" max="3868" width="11.73046875" style="10" customWidth="1"/>
    <col min="3869" max="3870" width="9.06640625" style="10"/>
    <col min="3871" max="3871" width="12.265625" style="10" customWidth="1"/>
    <col min="3872" max="3872" width="13.86328125" style="10" customWidth="1"/>
    <col min="3873" max="4094" width="9.06640625" style="10"/>
    <col min="4095" max="4095" width="11.19921875" style="10" customWidth="1"/>
    <col min="4096" max="4115" width="9.06640625" style="10"/>
    <col min="4116" max="4116" width="10.796875" style="10" bestFit="1" customWidth="1"/>
    <col min="4117" max="4117" width="9.06640625" style="10"/>
    <col min="4118" max="4118" width="14.1328125" style="10" bestFit="1" customWidth="1"/>
    <col min="4119" max="4123" width="9.06640625" style="10"/>
    <col min="4124" max="4124" width="11.73046875" style="10" customWidth="1"/>
    <col min="4125" max="4126" width="9.06640625" style="10"/>
    <col min="4127" max="4127" width="12.265625" style="10" customWidth="1"/>
    <col min="4128" max="4128" width="13.86328125" style="10" customWidth="1"/>
    <col min="4129" max="4350" width="9.06640625" style="10"/>
    <col min="4351" max="4351" width="11.19921875" style="10" customWidth="1"/>
    <col min="4352" max="4371" width="9.06640625" style="10"/>
    <col min="4372" max="4372" width="10.796875" style="10" bestFit="1" customWidth="1"/>
    <col min="4373" max="4373" width="9.06640625" style="10"/>
    <col min="4374" max="4374" width="14.1328125" style="10" bestFit="1" customWidth="1"/>
    <col min="4375" max="4379" width="9.06640625" style="10"/>
    <col min="4380" max="4380" width="11.73046875" style="10" customWidth="1"/>
    <col min="4381" max="4382" width="9.06640625" style="10"/>
    <col min="4383" max="4383" width="12.265625" style="10" customWidth="1"/>
    <col min="4384" max="4384" width="13.86328125" style="10" customWidth="1"/>
    <col min="4385" max="4606" width="9.06640625" style="10"/>
    <col min="4607" max="4607" width="11.19921875" style="10" customWidth="1"/>
    <col min="4608" max="4627" width="9.06640625" style="10"/>
    <col min="4628" max="4628" width="10.796875" style="10" bestFit="1" customWidth="1"/>
    <col min="4629" max="4629" width="9.06640625" style="10"/>
    <col min="4630" max="4630" width="14.1328125" style="10" bestFit="1" customWidth="1"/>
    <col min="4631" max="4635" width="9.06640625" style="10"/>
    <col min="4636" max="4636" width="11.73046875" style="10" customWidth="1"/>
    <col min="4637" max="4638" width="9.06640625" style="10"/>
    <col min="4639" max="4639" width="12.265625" style="10" customWidth="1"/>
    <col min="4640" max="4640" width="13.86328125" style="10" customWidth="1"/>
    <col min="4641" max="4862" width="9.06640625" style="10"/>
    <col min="4863" max="4863" width="11.19921875" style="10" customWidth="1"/>
    <col min="4864" max="4883" width="9.06640625" style="10"/>
    <col min="4884" max="4884" width="10.796875" style="10" bestFit="1" customWidth="1"/>
    <col min="4885" max="4885" width="9.06640625" style="10"/>
    <col min="4886" max="4886" width="14.1328125" style="10" bestFit="1" customWidth="1"/>
    <col min="4887" max="4891" width="9.06640625" style="10"/>
    <col min="4892" max="4892" width="11.73046875" style="10" customWidth="1"/>
    <col min="4893" max="4894" width="9.06640625" style="10"/>
    <col min="4895" max="4895" width="12.265625" style="10" customWidth="1"/>
    <col min="4896" max="4896" width="13.86328125" style="10" customWidth="1"/>
    <col min="4897" max="5118" width="9.06640625" style="10"/>
    <col min="5119" max="5119" width="11.19921875" style="10" customWidth="1"/>
    <col min="5120" max="5139" width="9.06640625" style="10"/>
    <col min="5140" max="5140" width="10.796875" style="10" bestFit="1" customWidth="1"/>
    <col min="5141" max="5141" width="9.06640625" style="10"/>
    <col min="5142" max="5142" width="14.1328125" style="10" bestFit="1" customWidth="1"/>
    <col min="5143" max="5147" width="9.06640625" style="10"/>
    <col min="5148" max="5148" width="11.73046875" style="10" customWidth="1"/>
    <col min="5149" max="5150" width="9.06640625" style="10"/>
    <col min="5151" max="5151" width="12.265625" style="10" customWidth="1"/>
    <col min="5152" max="5152" width="13.86328125" style="10" customWidth="1"/>
    <col min="5153" max="5374" width="9.06640625" style="10"/>
    <col min="5375" max="5375" width="11.19921875" style="10" customWidth="1"/>
    <col min="5376" max="5395" width="9.06640625" style="10"/>
    <col min="5396" max="5396" width="10.796875" style="10" bestFit="1" customWidth="1"/>
    <col min="5397" max="5397" width="9.06640625" style="10"/>
    <col min="5398" max="5398" width="14.1328125" style="10" bestFit="1" customWidth="1"/>
    <col min="5399" max="5403" width="9.06640625" style="10"/>
    <col min="5404" max="5404" width="11.73046875" style="10" customWidth="1"/>
    <col min="5405" max="5406" width="9.06640625" style="10"/>
    <col min="5407" max="5407" width="12.265625" style="10" customWidth="1"/>
    <col min="5408" max="5408" width="13.86328125" style="10" customWidth="1"/>
    <col min="5409" max="5630" width="9.06640625" style="10"/>
    <col min="5631" max="5631" width="11.19921875" style="10" customWidth="1"/>
    <col min="5632" max="5651" width="9.06640625" style="10"/>
    <col min="5652" max="5652" width="10.796875" style="10" bestFit="1" customWidth="1"/>
    <col min="5653" max="5653" width="9.06640625" style="10"/>
    <col min="5654" max="5654" width="14.1328125" style="10" bestFit="1" customWidth="1"/>
    <col min="5655" max="5659" width="9.06640625" style="10"/>
    <col min="5660" max="5660" width="11.73046875" style="10" customWidth="1"/>
    <col min="5661" max="5662" width="9.06640625" style="10"/>
    <col min="5663" max="5663" width="12.265625" style="10" customWidth="1"/>
    <col min="5664" max="5664" width="13.86328125" style="10" customWidth="1"/>
    <col min="5665" max="5886" width="9.06640625" style="10"/>
    <col min="5887" max="5887" width="11.19921875" style="10" customWidth="1"/>
    <col min="5888" max="5907" width="9.06640625" style="10"/>
    <col min="5908" max="5908" width="10.796875" style="10" bestFit="1" customWidth="1"/>
    <col min="5909" max="5909" width="9.06640625" style="10"/>
    <col min="5910" max="5910" width="14.1328125" style="10" bestFit="1" customWidth="1"/>
    <col min="5911" max="5915" width="9.06640625" style="10"/>
    <col min="5916" max="5916" width="11.73046875" style="10" customWidth="1"/>
    <col min="5917" max="5918" width="9.06640625" style="10"/>
    <col min="5919" max="5919" width="12.265625" style="10" customWidth="1"/>
    <col min="5920" max="5920" width="13.86328125" style="10" customWidth="1"/>
    <col min="5921" max="6142" width="9.06640625" style="10"/>
    <col min="6143" max="6143" width="11.19921875" style="10" customWidth="1"/>
    <col min="6144" max="6163" width="9.06640625" style="10"/>
    <col min="6164" max="6164" width="10.796875" style="10" bestFit="1" customWidth="1"/>
    <col min="6165" max="6165" width="9.06640625" style="10"/>
    <col min="6166" max="6166" width="14.1328125" style="10" bestFit="1" customWidth="1"/>
    <col min="6167" max="6171" width="9.06640625" style="10"/>
    <col min="6172" max="6172" width="11.73046875" style="10" customWidth="1"/>
    <col min="6173" max="6174" width="9.06640625" style="10"/>
    <col min="6175" max="6175" width="12.265625" style="10" customWidth="1"/>
    <col min="6176" max="6176" width="13.86328125" style="10" customWidth="1"/>
    <col min="6177" max="6398" width="9.06640625" style="10"/>
    <col min="6399" max="6399" width="11.19921875" style="10" customWidth="1"/>
    <col min="6400" max="6419" width="9.06640625" style="10"/>
    <col min="6420" max="6420" width="10.796875" style="10" bestFit="1" customWidth="1"/>
    <col min="6421" max="6421" width="9.06640625" style="10"/>
    <col min="6422" max="6422" width="14.1328125" style="10" bestFit="1" customWidth="1"/>
    <col min="6423" max="6427" width="9.06640625" style="10"/>
    <col min="6428" max="6428" width="11.73046875" style="10" customWidth="1"/>
    <col min="6429" max="6430" width="9.06640625" style="10"/>
    <col min="6431" max="6431" width="12.265625" style="10" customWidth="1"/>
    <col min="6432" max="6432" width="13.86328125" style="10" customWidth="1"/>
    <col min="6433" max="6654" width="9.06640625" style="10"/>
    <col min="6655" max="6655" width="11.19921875" style="10" customWidth="1"/>
    <col min="6656" max="6675" width="9.06640625" style="10"/>
    <col min="6676" max="6676" width="10.796875" style="10" bestFit="1" customWidth="1"/>
    <col min="6677" max="6677" width="9.06640625" style="10"/>
    <col min="6678" max="6678" width="14.1328125" style="10" bestFit="1" customWidth="1"/>
    <col min="6679" max="6683" width="9.06640625" style="10"/>
    <col min="6684" max="6684" width="11.73046875" style="10" customWidth="1"/>
    <col min="6685" max="6686" width="9.06640625" style="10"/>
    <col min="6687" max="6687" width="12.265625" style="10" customWidth="1"/>
    <col min="6688" max="6688" width="13.86328125" style="10" customWidth="1"/>
    <col min="6689" max="6910" width="9.06640625" style="10"/>
    <col min="6911" max="6911" width="11.19921875" style="10" customWidth="1"/>
    <col min="6912" max="6931" width="9.06640625" style="10"/>
    <col min="6932" max="6932" width="10.796875" style="10" bestFit="1" customWidth="1"/>
    <col min="6933" max="6933" width="9.06640625" style="10"/>
    <col min="6934" max="6934" width="14.1328125" style="10" bestFit="1" customWidth="1"/>
    <col min="6935" max="6939" width="9.06640625" style="10"/>
    <col min="6940" max="6940" width="11.73046875" style="10" customWidth="1"/>
    <col min="6941" max="6942" width="9.06640625" style="10"/>
    <col min="6943" max="6943" width="12.265625" style="10" customWidth="1"/>
    <col min="6944" max="6944" width="13.86328125" style="10" customWidth="1"/>
    <col min="6945" max="7166" width="9.06640625" style="10"/>
    <col min="7167" max="7167" width="11.19921875" style="10" customWidth="1"/>
    <col min="7168" max="7187" width="9.06640625" style="10"/>
    <col min="7188" max="7188" width="10.796875" style="10" bestFit="1" customWidth="1"/>
    <col min="7189" max="7189" width="9.06640625" style="10"/>
    <col min="7190" max="7190" width="14.1328125" style="10" bestFit="1" customWidth="1"/>
    <col min="7191" max="7195" width="9.06640625" style="10"/>
    <col min="7196" max="7196" width="11.73046875" style="10" customWidth="1"/>
    <col min="7197" max="7198" width="9.06640625" style="10"/>
    <col min="7199" max="7199" width="12.265625" style="10" customWidth="1"/>
    <col min="7200" max="7200" width="13.86328125" style="10" customWidth="1"/>
    <col min="7201" max="7422" width="9.06640625" style="10"/>
    <col min="7423" max="7423" width="11.19921875" style="10" customWidth="1"/>
    <col min="7424" max="7443" width="9.06640625" style="10"/>
    <col min="7444" max="7444" width="10.796875" style="10" bestFit="1" customWidth="1"/>
    <col min="7445" max="7445" width="9.06640625" style="10"/>
    <col min="7446" max="7446" width="14.1328125" style="10" bestFit="1" customWidth="1"/>
    <col min="7447" max="7451" width="9.06640625" style="10"/>
    <col min="7452" max="7452" width="11.73046875" style="10" customWidth="1"/>
    <col min="7453" max="7454" width="9.06640625" style="10"/>
    <col min="7455" max="7455" width="12.265625" style="10" customWidth="1"/>
    <col min="7456" max="7456" width="13.86328125" style="10" customWidth="1"/>
    <col min="7457" max="7678" width="9.06640625" style="10"/>
    <col min="7679" max="7679" width="11.19921875" style="10" customWidth="1"/>
    <col min="7680" max="7699" width="9.06640625" style="10"/>
    <col min="7700" max="7700" width="10.796875" style="10" bestFit="1" customWidth="1"/>
    <col min="7701" max="7701" width="9.06640625" style="10"/>
    <col min="7702" max="7702" width="14.1328125" style="10" bestFit="1" customWidth="1"/>
    <col min="7703" max="7707" width="9.06640625" style="10"/>
    <col min="7708" max="7708" width="11.73046875" style="10" customWidth="1"/>
    <col min="7709" max="7710" width="9.06640625" style="10"/>
    <col min="7711" max="7711" width="12.265625" style="10" customWidth="1"/>
    <col min="7712" max="7712" width="13.86328125" style="10" customWidth="1"/>
    <col min="7713" max="7934" width="9.06640625" style="10"/>
    <col min="7935" max="7935" width="11.19921875" style="10" customWidth="1"/>
    <col min="7936" max="7955" width="9.06640625" style="10"/>
    <col min="7956" max="7956" width="10.796875" style="10" bestFit="1" customWidth="1"/>
    <col min="7957" max="7957" width="9.06640625" style="10"/>
    <col min="7958" max="7958" width="14.1328125" style="10" bestFit="1" customWidth="1"/>
    <col min="7959" max="7963" width="9.06640625" style="10"/>
    <col min="7964" max="7964" width="11.73046875" style="10" customWidth="1"/>
    <col min="7965" max="7966" width="9.06640625" style="10"/>
    <col min="7967" max="7967" width="12.265625" style="10" customWidth="1"/>
    <col min="7968" max="7968" width="13.86328125" style="10" customWidth="1"/>
    <col min="7969" max="8190" width="9.06640625" style="10"/>
    <col min="8191" max="8191" width="11.19921875" style="10" customWidth="1"/>
    <col min="8192" max="8211" width="9.06640625" style="10"/>
    <col min="8212" max="8212" width="10.796875" style="10" bestFit="1" customWidth="1"/>
    <col min="8213" max="8213" width="9.06640625" style="10"/>
    <col min="8214" max="8214" width="14.1328125" style="10" bestFit="1" customWidth="1"/>
    <col min="8215" max="8219" width="9.06640625" style="10"/>
    <col min="8220" max="8220" width="11.73046875" style="10" customWidth="1"/>
    <col min="8221" max="8222" width="9.06640625" style="10"/>
    <col min="8223" max="8223" width="12.265625" style="10" customWidth="1"/>
    <col min="8224" max="8224" width="13.86328125" style="10" customWidth="1"/>
    <col min="8225" max="8446" width="9.06640625" style="10"/>
    <col min="8447" max="8447" width="11.19921875" style="10" customWidth="1"/>
    <col min="8448" max="8467" width="9.06640625" style="10"/>
    <col min="8468" max="8468" width="10.796875" style="10" bestFit="1" customWidth="1"/>
    <col min="8469" max="8469" width="9.06640625" style="10"/>
    <col min="8470" max="8470" width="14.1328125" style="10" bestFit="1" customWidth="1"/>
    <col min="8471" max="8475" width="9.06640625" style="10"/>
    <col min="8476" max="8476" width="11.73046875" style="10" customWidth="1"/>
    <col min="8477" max="8478" width="9.06640625" style="10"/>
    <col min="8479" max="8479" width="12.265625" style="10" customWidth="1"/>
    <col min="8480" max="8480" width="13.86328125" style="10" customWidth="1"/>
    <col min="8481" max="8702" width="9.06640625" style="10"/>
    <col min="8703" max="8703" width="11.19921875" style="10" customWidth="1"/>
    <col min="8704" max="8723" width="9.06640625" style="10"/>
    <col min="8724" max="8724" width="10.796875" style="10" bestFit="1" customWidth="1"/>
    <col min="8725" max="8725" width="9.06640625" style="10"/>
    <col min="8726" max="8726" width="14.1328125" style="10" bestFit="1" customWidth="1"/>
    <col min="8727" max="8731" width="9.06640625" style="10"/>
    <col min="8732" max="8732" width="11.73046875" style="10" customWidth="1"/>
    <col min="8733" max="8734" width="9.06640625" style="10"/>
    <col min="8735" max="8735" width="12.265625" style="10" customWidth="1"/>
    <col min="8736" max="8736" width="13.86328125" style="10" customWidth="1"/>
    <col min="8737" max="8958" width="9.06640625" style="10"/>
    <col min="8959" max="8959" width="11.19921875" style="10" customWidth="1"/>
    <col min="8960" max="8979" width="9.06640625" style="10"/>
    <col min="8980" max="8980" width="10.796875" style="10" bestFit="1" customWidth="1"/>
    <col min="8981" max="8981" width="9.06640625" style="10"/>
    <col min="8982" max="8982" width="14.1328125" style="10" bestFit="1" customWidth="1"/>
    <col min="8983" max="8987" width="9.06640625" style="10"/>
    <col min="8988" max="8988" width="11.73046875" style="10" customWidth="1"/>
    <col min="8989" max="8990" width="9.06640625" style="10"/>
    <col min="8991" max="8991" width="12.265625" style="10" customWidth="1"/>
    <col min="8992" max="8992" width="13.86328125" style="10" customWidth="1"/>
    <col min="8993" max="9214" width="9.06640625" style="10"/>
    <col min="9215" max="9215" width="11.19921875" style="10" customWidth="1"/>
    <col min="9216" max="9235" width="9.06640625" style="10"/>
    <col min="9236" max="9236" width="10.796875" style="10" bestFit="1" customWidth="1"/>
    <col min="9237" max="9237" width="9.06640625" style="10"/>
    <col min="9238" max="9238" width="14.1328125" style="10" bestFit="1" customWidth="1"/>
    <col min="9239" max="9243" width="9.06640625" style="10"/>
    <col min="9244" max="9244" width="11.73046875" style="10" customWidth="1"/>
    <col min="9245" max="9246" width="9.06640625" style="10"/>
    <col min="9247" max="9247" width="12.265625" style="10" customWidth="1"/>
    <col min="9248" max="9248" width="13.86328125" style="10" customWidth="1"/>
    <col min="9249" max="9470" width="9.06640625" style="10"/>
    <col min="9471" max="9471" width="11.19921875" style="10" customWidth="1"/>
    <col min="9472" max="9491" width="9.06640625" style="10"/>
    <col min="9492" max="9492" width="10.796875" style="10" bestFit="1" customWidth="1"/>
    <col min="9493" max="9493" width="9.06640625" style="10"/>
    <col min="9494" max="9494" width="14.1328125" style="10" bestFit="1" customWidth="1"/>
    <col min="9495" max="9499" width="9.06640625" style="10"/>
    <col min="9500" max="9500" width="11.73046875" style="10" customWidth="1"/>
    <col min="9501" max="9502" width="9.06640625" style="10"/>
    <col min="9503" max="9503" width="12.265625" style="10" customWidth="1"/>
    <col min="9504" max="9504" width="13.86328125" style="10" customWidth="1"/>
    <col min="9505" max="9726" width="9.06640625" style="10"/>
    <col min="9727" max="9727" width="11.19921875" style="10" customWidth="1"/>
    <col min="9728" max="9747" width="9.06640625" style="10"/>
    <col min="9748" max="9748" width="10.796875" style="10" bestFit="1" customWidth="1"/>
    <col min="9749" max="9749" width="9.06640625" style="10"/>
    <col min="9750" max="9750" width="14.1328125" style="10" bestFit="1" customWidth="1"/>
    <col min="9751" max="9755" width="9.06640625" style="10"/>
    <col min="9756" max="9756" width="11.73046875" style="10" customWidth="1"/>
    <col min="9757" max="9758" width="9.06640625" style="10"/>
    <col min="9759" max="9759" width="12.265625" style="10" customWidth="1"/>
    <col min="9760" max="9760" width="13.86328125" style="10" customWidth="1"/>
    <col min="9761" max="9982" width="9.06640625" style="10"/>
    <col min="9983" max="9983" width="11.19921875" style="10" customWidth="1"/>
    <col min="9984" max="10003" width="9.06640625" style="10"/>
    <col min="10004" max="10004" width="10.796875" style="10" bestFit="1" customWidth="1"/>
    <col min="10005" max="10005" width="9.06640625" style="10"/>
    <col min="10006" max="10006" width="14.1328125" style="10" bestFit="1" customWidth="1"/>
    <col min="10007" max="10011" width="9.06640625" style="10"/>
    <col min="10012" max="10012" width="11.73046875" style="10" customWidth="1"/>
    <col min="10013" max="10014" width="9.06640625" style="10"/>
    <col min="10015" max="10015" width="12.265625" style="10" customWidth="1"/>
    <col min="10016" max="10016" width="13.86328125" style="10" customWidth="1"/>
    <col min="10017" max="10238" width="9.06640625" style="10"/>
    <col min="10239" max="10239" width="11.19921875" style="10" customWidth="1"/>
    <col min="10240" max="10259" width="9.06640625" style="10"/>
    <col min="10260" max="10260" width="10.796875" style="10" bestFit="1" customWidth="1"/>
    <col min="10261" max="10261" width="9.06640625" style="10"/>
    <col min="10262" max="10262" width="14.1328125" style="10" bestFit="1" customWidth="1"/>
    <col min="10263" max="10267" width="9.06640625" style="10"/>
    <col min="10268" max="10268" width="11.73046875" style="10" customWidth="1"/>
    <col min="10269" max="10270" width="9.06640625" style="10"/>
    <col min="10271" max="10271" width="12.265625" style="10" customWidth="1"/>
    <col min="10272" max="10272" width="13.86328125" style="10" customWidth="1"/>
    <col min="10273" max="10494" width="9.06640625" style="10"/>
    <col min="10495" max="10495" width="11.19921875" style="10" customWidth="1"/>
    <col min="10496" max="10515" width="9.06640625" style="10"/>
    <col min="10516" max="10516" width="10.796875" style="10" bestFit="1" customWidth="1"/>
    <col min="10517" max="10517" width="9.06640625" style="10"/>
    <col min="10518" max="10518" width="14.1328125" style="10" bestFit="1" customWidth="1"/>
    <col min="10519" max="10523" width="9.06640625" style="10"/>
    <col min="10524" max="10524" width="11.73046875" style="10" customWidth="1"/>
    <col min="10525" max="10526" width="9.06640625" style="10"/>
    <col min="10527" max="10527" width="12.265625" style="10" customWidth="1"/>
    <col min="10528" max="10528" width="13.86328125" style="10" customWidth="1"/>
    <col min="10529" max="10750" width="9.06640625" style="10"/>
    <col min="10751" max="10751" width="11.19921875" style="10" customWidth="1"/>
    <col min="10752" max="10771" width="9.06640625" style="10"/>
    <col min="10772" max="10772" width="10.796875" style="10" bestFit="1" customWidth="1"/>
    <col min="10773" max="10773" width="9.06640625" style="10"/>
    <col min="10774" max="10774" width="14.1328125" style="10" bestFit="1" customWidth="1"/>
    <col min="10775" max="10779" width="9.06640625" style="10"/>
    <col min="10780" max="10780" width="11.73046875" style="10" customWidth="1"/>
    <col min="10781" max="10782" width="9.06640625" style="10"/>
    <col min="10783" max="10783" width="12.265625" style="10" customWidth="1"/>
    <col min="10784" max="10784" width="13.86328125" style="10" customWidth="1"/>
    <col min="10785" max="11006" width="9.06640625" style="10"/>
    <col min="11007" max="11007" width="11.19921875" style="10" customWidth="1"/>
    <col min="11008" max="11027" width="9.06640625" style="10"/>
    <col min="11028" max="11028" width="10.796875" style="10" bestFit="1" customWidth="1"/>
    <col min="11029" max="11029" width="9.06640625" style="10"/>
    <col min="11030" max="11030" width="14.1328125" style="10" bestFit="1" customWidth="1"/>
    <col min="11031" max="11035" width="9.06640625" style="10"/>
    <col min="11036" max="11036" width="11.73046875" style="10" customWidth="1"/>
    <col min="11037" max="11038" width="9.06640625" style="10"/>
    <col min="11039" max="11039" width="12.265625" style="10" customWidth="1"/>
    <col min="11040" max="11040" width="13.86328125" style="10" customWidth="1"/>
    <col min="11041" max="11262" width="9.06640625" style="10"/>
    <col min="11263" max="11263" width="11.19921875" style="10" customWidth="1"/>
    <col min="11264" max="11283" width="9.06640625" style="10"/>
    <col min="11284" max="11284" width="10.796875" style="10" bestFit="1" customWidth="1"/>
    <col min="11285" max="11285" width="9.06640625" style="10"/>
    <col min="11286" max="11286" width="14.1328125" style="10" bestFit="1" customWidth="1"/>
    <col min="11287" max="11291" width="9.06640625" style="10"/>
    <col min="11292" max="11292" width="11.73046875" style="10" customWidth="1"/>
    <col min="11293" max="11294" width="9.06640625" style="10"/>
    <col min="11295" max="11295" width="12.265625" style="10" customWidth="1"/>
    <col min="11296" max="11296" width="13.86328125" style="10" customWidth="1"/>
    <col min="11297" max="11518" width="9.06640625" style="10"/>
    <col min="11519" max="11519" width="11.19921875" style="10" customWidth="1"/>
    <col min="11520" max="11539" width="9.06640625" style="10"/>
    <col min="11540" max="11540" width="10.796875" style="10" bestFit="1" customWidth="1"/>
    <col min="11541" max="11541" width="9.06640625" style="10"/>
    <col min="11542" max="11542" width="14.1328125" style="10" bestFit="1" customWidth="1"/>
    <col min="11543" max="11547" width="9.06640625" style="10"/>
    <col min="11548" max="11548" width="11.73046875" style="10" customWidth="1"/>
    <col min="11549" max="11550" width="9.06640625" style="10"/>
    <col min="11551" max="11551" width="12.265625" style="10" customWidth="1"/>
    <col min="11552" max="11552" width="13.86328125" style="10" customWidth="1"/>
    <col min="11553" max="11774" width="9.06640625" style="10"/>
    <col min="11775" max="11775" width="11.19921875" style="10" customWidth="1"/>
    <col min="11776" max="11795" width="9.06640625" style="10"/>
    <col min="11796" max="11796" width="10.796875" style="10" bestFit="1" customWidth="1"/>
    <col min="11797" max="11797" width="9.06640625" style="10"/>
    <col min="11798" max="11798" width="14.1328125" style="10" bestFit="1" customWidth="1"/>
    <col min="11799" max="11803" width="9.06640625" style="10"/>
    <col min="11804" max="11804" width="11.73046875" style="10" customWidth="1"/>
    <col min="11805" max="11806" width="9.06640625" style="10"/>
    <col min="11807" max="11807" width="12.265625" style="10" customWidth="1"/>
    <col min="11808" max="11808" width="13.86328125" style="10" customWidth="1"/>
    <col min="11809" max="12030" width="9.06640625" style="10"/>
    <col min="12031" max="12031" width="11.19921875" style="10" customWidth="1"/>
    <col min="12032" max="12051" width="9.06640625" style="10"/>
    <col min="12052" max="12052" width="10.796875" style="10" bestFit="1" customWidth="1"/>
    <col min="12053" max="12053" width="9.06640625" style="10"/>
    <col min="12054" max="12054" width="14.1328125" style="10" bestFit="1" customWidth="1"/>
    <col min="12055" max="12059" width="9.06640625" style="10"/>
    <col min="12060" max="12060" width="11.73046875" style="10" customWidth="1"/>
    <col min="12061" max="12062" width="9.06640625" style="10"/>
    <col min="12063" max="12063" width="12.265625" style="10" customWidth="1"/>
    <col min="12064" max="12064" width="13.86328125" style="10" customWidth="1"/>
    <col min="12065" max="12286" width="9.06640625" style="10"/>
    <col min="12287" max="12287" width="11.19921875" style="10" customWidth="1"/>
    <col min="12288" max="12307" width="9.06640625" style="10"/>
    <col min="12308" max="12308" width="10.796875" style="10" bestFit="1" customWidth="1"/>
    <col min="12309" max="12309" width="9.06640625" style="10"/>
    <col min="12310" max="12310" width="14.1328125" style="10" bestFit="1" customWidth="1"/>
    <col min="12311" max="12315" width="9.06640625" style="10"/>
    <col min="12316" max="12316" width="11.73046875" style="10" customWidth="1"/>
    <col min="12317" max="12318" width="9.06640625" style="10"/>
    <col min="12319" max="12319" width="12.265625" style="10" customWidth="1"/>
    <col min="12320" max="12320" width="13.86328125" style="10" customWidth="1"/>
    <col min="12321" max="12542" width="9.06640625" style="10"/>
    <col min="12543" max="12543" width="11.19921875" style="10" customWidth="1"/>
    <col min="12544" max="12563" width="9.06640625" style="10"/>
    <col min="12564" max="12564" width="10.796875" style="10" bestFit="1" customWidth="1"/>
    <col min="12565" max="12565" width="9.06640625" style="10"/>
    <col min="12566" max="12566" width="14.1328125" style="10" bestFit="1" customWidth="1"/>
    <col min="12567" max="12571" width="9.06640625" style="10"/>
    <col min="12572" max="12572" width="11.73046875" style="10" customWidth="1"/>
    <col min="12573" max="12574" width="9.06640625" style="10"/>
    <col min="12575" max="12575" width="12.265625" style="10" customWidth="1"/>
    <col min="12576" max="12576" width="13.86328125" style="10" customWidth="1"/>
    <col min="12577" max="12798" width="9.06640625" style="10"/>
    <col min="12799" max="12799" width="11.19921875" style="10" customWidth="1"/>
    <col min="12800" max="12819" width="9.06640625" style="10"/>
    <col min="12820" max="12820" width="10.796875" style="10" bestFit="1" customWidth="1"/>
    <col min="12821" max="12821" width="9.06640625" style="10"/>
    <col min="12822" max="12822" width="14.1328125" style="10" bestFit="1" customWidth="1"/>
    <col min="12823" max="12827" width="9.06640625" style="10"/>
    <col min="12828" max="12828" width="11.73046875" style="10" customWidth="1"/>
    <col min="12829" max="12830" width="9.06640625" style="10"/>
    <col min="12831" max="12831" width="12.265625" style="10" customWidth="1"/>
    <col min="12832" max="12832" width="13.86328125" style="10" customWidth="1"/>
    <col min="12833" max="13054" width="9.06640625" style="10"/>
    <col min="13055" max="13055" width="11.19921875" style="10" customWidth="1"/>
    <col min="13056" max="13075" width="9.06640625" style="10"/>
    <col min="13076" max="13076" width="10.796875" style="10" bestFit="1" customWidth="1"/>
    <col min="13077" max="13077" width="9.06640625" style="10"/>
    <col min="13078" max="13078" width="14.1328125" style="10" bestFit="1" customWidth="1"/>
    <col min="13079" max="13083" width="9.06640625" style="10"/>
    <col min="13084" max="13084" width="11.73046875" style="10" customWidth="1"/>
    <col min="13085" max="13086" width="9.06640625" style="10"/>
    <col min="13087" max="13087" width="12.265625" style="10" customWidth="1"/>
    <col min="13088" max="13088" width="13.86328125" style="10" customWidth="1"/>
    <col min="13089" max="13310" width="9.06640625" style="10"/>
    <col min="13311" max="13311" width="11.19921875" style="10" customWidth="1"/>
    <col min="13312" max="13331" width="9.06640625" style="10"/>
    <col min="13332" max="13332" width="10.796875" style="10" bestFit="1" customWidth="1"/>
    <col min="13333" max="13333" width="9.06640625" style="10"/>
    <col min="13334" max="13334" width="14.1328125" style="10" bestFit="1" customWidth="1"/>
    <col min="13335" max="13339" width="9.06640625" style="10"/>
    <col min="13340" max="13340" width="11.73046875" style="10" customWidth="1"/>
    <col min="13341" max="13342" width="9.06640625" style="10"/>
    <col min="13343" max="13343" width="12.265625" style="10" customWidth="1"/>
    <col min="13344" max="13344" width="13.86328125" style="10" customWidth="1"/>
    <col min="13345" max="13566" width="9.06640625" style="10"/>
    <col min="13567" max="13567" width="11.19921875" style="10" customWidth="1"/>
    <col min="13568" max="13587" width="9.06640625" style="10"/>
    <col min="13588" max="13588" width="10.796875" style="10" bestFit="1" customWidth="1"/>
    <col min="13589" max="13589" width="9.06640625" style="10"/>
    <col min="13590" max="13590" width="14.1328125" style="10" bestFit="1" customWidth="1"/>
    <col min="13591" max="13595" width="9.06640625" style="10"/>
    <col min="13596" max="13596" width="11.73046875" style="10" customWidth="1"/>
    <col min="13597" max="13598" width="9.06640625" style="10"/>
    <col min="13599" max="13599" width="12.265625" style="10" customWidth="1"/>
    <col min="13600" max="13600" width="13.86328125" style="10" customWidth="1"/>
    <col min="13601" max="13822" width="9.06640625" style="10"/>
    <col min="13823" max="13823" width="11.19921875" style="10" customWidth="1"/>
    <col min="13824" max="13843" width="9.06640625" style="10"/>
    <col min="13844" max="13844" width="10.796875" style="10" bestFit="1" customWidth="1"/>
    <col min="13845" max="13845" width="9.06640625" style="10"/>
    <col min="13846" max="13846" width="14.1328125" style="10" bestFit="1" customWidth="1"/>
    <col min="13847" max="13851" width="9.06640625" style="10"/>
    <col min="13852" max="13852" width="11.73046875" style="10" customWidth="1"/>
    <col min="13853" max="13854" width="9.06640625" style="10"/>
    <col min="13855" max="13855" width="12.265625" style="10" customWidth="1"/>
    <col min="13856" max="13856" width="13.86328125" style="10" customWidth="1"/>
    <col min="13857" max="14078" width="9.06640625" style="10"/>
    <col min="14079" max="14079" width="11.19921875" style="10" customWidth="1"/>
    <col min="14080" max="14099" width="9.06640625" style="10"/>
    <col min="14100" max="14100" width="10.796875" style="10" bestFit="1" customWidth="1"/>
    <col min="14101" max="14101" width="9.06640625" style="10"/>
    <col min="14102" max="14102" width="14.1328125" style="10" bestFit="1" customWidth="1"/>
    <col min="14103" max="14107" width="9.06640625" style="10"/>
    <col min="14108" max="14108" width="11.73046875" style="10" customWidth="1"/>
    <col min="14109" max="14110" width="9.06640625" style="10"/>
    <col min="14111" max="14111" width="12.265625" style="10" customWidth="1"/>
    <col min="14112" max="14112" width="13.86328125" style="10" customWidth="1"/>
    <col min="14113" max="14334" width="9.06640625" style="10"/>
    <col min="14335" max="14335" width="11.19921875" style="10" customWidth="1"/>
    <col min="14336" max="14355" width="9.06640625" style="10"/>
    <col min="14356" max="14356" width="10.796875" style="10" bestFit="1" customWidth="1"/>
    <col min="14357" max="14357" width="9.06640625" style="10"/>
    <col min="14358" max="14358" width="14.1328125" style="10" bestFit="1" customWidth="1"/>
    <col min="14359" max="14363" width="9.06640625" style="10"/>
    <col min="14364" max="14364" width="11.73046875" style="10" customWidth="1"/>
    <col min="14365" max="14366" width="9.06640625" style="10"/>
    <col min="14367" max="14367" width="12.265625" style="10" customWidth="1"/>
    <col min="14368" max="14368" width="13.86328125" style="10" customWidth="1"/>
    <col min="14369" max="14590" width="9.06640625" style="10"/>
    <col min="14591" max="14591" width="11.19921875" style="10" customWidth="1"/>
    <col min="14592" max="14611" width="9.06640625" style="10"/>
    <col min="14612" max="14612" width="10.796875" style="10" bestFit="1" customWidth="1"/>
    <col min="14613" max="14613" width="9.06640625" style="10"/>
    <col min="14614" max="14614" width="14.1328125" style="10" bestFit="1" customWidth="1"/>
    <col min="14615" max="14619" width="9.06640625" style="10"/>
    <col min="14620" max="14620" width="11.73046875" style="10" customWidth="1"/>
    <col min="14621" max="14622" width="9.06640625" style="10"/>
    <col min="14623" max="14623" width="12.265625" style="10" customWidth="1"/>
    <col min="14624" max="14624" width="13.86328125" style="10" customWidth="1"/>
    <col min="14625" max="14846" width="9.06640625" style="10"/>
    <col min="14847" max="14847" width="11.19921875" style="10" customWidth="1"/>
    <col min="14848" max="14867" width="9.06640625" style="10"/>
    <col min="14868" max="14868" width="10.796875" style="10" bestFit="1" customWidth="1"/>
    <col min="14869" max="14869" width="9.06640625" style="10"/>
    <col min="14870" max="14870" width="14.1328125" style="10" bestFit="1" customWidth="1"/>
    <col min="14871" max="14875" width="9.06640625" style="10"/>
    <col min="14876" max="14876" width="11.73046875" style="10" customWidth="1"/>
    <col min="14877" max="14878" width="9.06640625" style="10"/>
    <col min="14879" max="14879" width="12.265625" style="10" customWidth="1"/>
    <col min="14880" max="14880" width="13.86328125" style="10" customWidth="1"/>
    <col min="14881" max="15102" width="9.06640625" style="10"/>
    <col min="15103" max="15103" width="11.19921875" style="10" customWidth="1"/>
    <col min="15104" max="15123" width="9.06640625" style="10"/>
    <col min="15124" max="15124" width="10.796875" style="10" bestFit="1" customWidth="1"/>
    <col min="15125" max="15125" width="9.06640625" style="10"/>
    <col min="15126" max="15126" width="14.1328125" style="10" bestFit="1" customWidth="1"/>
    <col min="15127" max="15131" width="9.06640625" style="10"/>
    <col min="15132" max="15132" width="11.73046875" style="10" customWidth="1"/>
    <col min="15133" max="15134" width="9.06640625" style="10"/>
    <col min="15135" max="15135" width="12.265625" style="10" customWidth="1"/>
    <col min="15136" max="15136" width="13.86328125" style="10" customWidth="1"/>
    <col min="15137" max="15358" width="9.06640625" style="10"/>
    <col min="15359" max="15359" width="11.19921875" style="10" customWidth="1"/>
    <col min="15360" max="15379" width="9.06640625" style="10"/>
    <col min="15380" max="15380" width="10.796875" style="10" bestFit="1" customWidth="1"/>
    <col min="15381" max="15381" width="9.06640625" style="10"/>
    <col min="15382" max="15382" width="14.1328125" style="10" bestFit="1" customWidth="1"/>
    <col min="15383" max="15387" width="9.06640625" style="10"/>
    <col min="15388" max="15388" width="11.73046875" style="10" customWidth="1"/>
    <col min="15389" max="15390" width="9.06640625" style="10"/>
    <col min="15391" max="15391" width="12.265625" style="10" customWidth="1"/>
    <col min="15392" max="15392" width="13.86328125" style="10" customWidth="1"/>
    <col min="15393" max="15614" width="9.06640625" style="10"/>
    <col min="15615" max="15615" width="11.19921875" style="10" customWidth="1"/>
    <col min="15616" max="15635" width="9.06640625" style="10"/>
    <col min="15636" max="15636" width="10.796875" style="10" bestFit="1" customWidth="1"/>
    <col min="15637" max="15637" width="9.06640625" style="10"/>
    <col min="15638" max="15638" width="14.1328125" style="10" bestFit="1" customWidth="1"/>
    <col min="15639" max="15643" width="9.06640625" style="10"/>
    <col min="15644" max="15644" width="11.73046875" style="10" customWidth="1"/>
    <col min="15645" max="15646" width="9.06640625" style="10"/>
    <col min="15647" max="15647" width="12.265625" style="10" customWidth="1"/>
    <col min="15648" max="15648" width="13.86328125" style="10" customWidth="1"/>
    <col min="15649" max="15870" width="9.06640625" style="10"/>
    <col min="15871" max="15871" width="11.19921875" style="10" customWidth="1"/>
    <col min="15872" max="15891" width="9.06640625" style="10"/>
    <col min="15892" max="15892" width="10.796875" style="10" bestFit="1" customWidth="1"/>
    <col min="15893" max="15893" width="9.06640625" style="10"/>
    <col min="15894" max="15894" width="14.1328125" style="10" bestFit="1" customWidth="1"/>
    <col min="15895" max="15899" width="9.06640625" style="10"/>
    <col min="15900" max="15900" width="11.73046875" style="10" customWidth="1"/>
    <col min="15901" max="15902" width="9.06640625" style="10"/>
    <col min="15903" max="15903" width="12.265625" style="10" customWidth="1"/>
    <col min="15904" max="15904" width="13.86328125" style="10" customWidth="1"/>
    <col min="15905" max="16126" width="9.06640625" style="10"/>
    <col min="16127" max="16127" width="11.19921875" style="10" customWidth="1"/>
    <col min="16128" max="16147" width="9.06640625" style="10"/>
    <col min="16148" max="16148" width="10.796875" style="10" bestFit="1" customWidth="1"/>
    <col min="16149" max="16149" width="9.06640625" style="10"/>
    <col min="16150" max="16150" width="14.1328125" style="10" bestFit="1" customWidth="1"/>
    <col min="16151" max="16155" width="9.06640625" style="10"/>
    <col min="16156" max="16156" width="11.73046875" style="10" customWidth="1"/>
    <col min="16157" max="16158" width="9.06640625" style="10"/>
    <col min="16159" max="16159" width="12.265625" style="10" customWidth="1"/>
    <col min="16160" max="16160" width="13.86328125" style="10" customWidth="1"/>
    <col min="16161" max="16384" width="9.06640625" style="10"/>
  </cols>
  <sheetData>
    <row r="1" spans="1:37" s="3" customFormat="1" ht="18" x14ac:dyDescent="0.4">
      <c r="A1" s="3" t="s">
        <v>67</v>
      </c>
      <c r="B1" s="3" t="s">
        <v>68</v>
      </c>
      <c r="C1" s="3" t="s">
        <v>69</v>
      </c>
      <c r="D1" s="4" t="s">
        <v>70</v>
      </c>
      <c r="E1" s="5" t="s">
        <v>41</v>
      </c>
      <c r="F1" s="5" t="s">
        <v>42</v>
      </c>
      <c r="G1" s="5" t="s">
        <v>43</v>
      </c>
      <c r="H1" s="5" t="s">
        <v>42</v>
      </c>
      <c r="I1" s="5" t="s">
        <v>78</v>
      </c>
      <c r="J1" s="5" t="s">
        <v>42</v>
      </c>
      <c r="K1" s="5" t="s">
        <v>71</v>
      </c>
      <c r="L1" s="5" t="s">
        <v>44</v>
      </c>
      <c r="M1" s="5" t="s">
        <v>42</v>
      </c>
      <c r="N1" s="5" t="s">
        <v>45</v>
      </c>
      <c r="O1" s="5" t="s">
        <v>42</v>
      </c>
      <c r="P1" s="5" t="s">
        <v>46</v>
      </c>
      <c r="Q1" s="5" t="s">
        <v>42</v>
      </c>
      <c r="R1" s="5" t="s">
        <v>47</v>
      </c>
      <c r="S1" s="5" t="s">
        <v>72</v>
      </c>
      <c r="T1" s="5" t="s">
        <v>73</v>
      </c>
    </row>
    <row r="2" spans="1:37" s="3" customFormat="1" x14ac:dyDescent="0.4">
      <c r="A2" s="6" t="s">
        <v>74</v>
      </c>
      <c r="B2" s="6" t="s">
        <v>48</v>
      </c>
      <c r="C2" s="4"/>
      <c r="D2" s="7" t="s">
        <v>49</v>
      </c>
      <c r="E2" s="8">
        <v>0.36499999999999999</v>
      </c>
      <c r="F2" s="8">
        <v>2.1965699999999998E-2</v>
      </c>
      <c r="G2" s="8">
        <v>7.46</v>
      </c>
      <c r="H2" s="8">
        <v>0.26450922000000004</v>
      </c>
      <c r="I2" s="8">
        <v>0.98499999999999999</v>
      </c>
      <c r="J2" s="8">
        <v>4.7312504999999991E-2</v>
      </c>
      <c r="K2" s="8">
        <v>2.42</v>
      </c>
      <c r="L2" s="8">
        <v>1.0649999999999999</v>
      </c>
      <c r="M2" s="8">
        <v>2.13426E-2</v>
      </c>
      <c r="N2" s="8">
        <v>1.355</v>
      </c>
      <c r="O2" s="8">
        <v>1.64768E-2</v>
      </c>
      <c r="P2" s="8">
        <v>6.39</v>
      </c>
      <c r="Q2" s="8">
        <v>0.14696999999999999</v>
      </c>
      <c r="R2" s="8">
        <v>7.9349999999999996</v>
      </c>
      <c r="S2" s="8">
        <v>6.5</v>
      </c>
      <c r="T2" s="9">
        <v>0.51857682500000002</v>
      </c>
      <c r="W2" s="8"/>
    </row>
    <row r="3" spans="1:37" x14ac:dyDescent="0.4">
      <c r="A3" s="6" t="s">
        <v>74</v>
      </c>
      <c r="B3" s="6" t="s">
        <v>48</v>
      </c>
      <c r="C3" s="4"/>
      <c r="D3" s="7" t="s">
        <v>12</v>
      </c>
      <c r="E3" s="8">
        <v>0.40500000000000003</v>
      </c>
      <c r="F3" s="8">
        <v>2.4372899999999996E-2</v>
      </c>
      <c r="G3" s="8">
        <v>5.32</v>
      </c>
      <c r="H3" s="8">
        <v>0.18863124000000003</v>
      </c>
      <c r="I3" s="8">
        <v>1.135</v>
      </c>
      <c r="J3" s="8">
        <v>5.4517455000000006E-2</v>
      </c>
      <c r="K3" s="8">
        <v>1.605</v>
      </c>
      <c r="L3" s="8">
        <v>0.6</v>
      </c>
      <c r="M3" s="8">
        <v>1.2023999999999998E-2</v>
      </c>
      <c r="N3" s="8">
        <v>1.0049999999999999</v>
      </c>
      <c r="O3" s="8">
        <v>1.22208E-2</v>
      </c>
      <c r="P3" s="8">
        <v>5.2549999999999999</v>
      </c>
      <c r="Q3" s="8">
        <v>0.120865</v>
      </c>
      <c r="R3" s="8">
        <v>5.47</v>
      </c>
      <c r="S3" s="8">
        <v>5</v>
      </c>
      <c r="T3" s="9">
        <v>0.41263139500000001</v>
      </c>
      <c r="W3" s="8"/>
      <c r="Y3" s="3"/>
      <c r="Z3" s="3"/>
      <c r="AB3" s="3"/>
      <c r="AC3" s="3"/>
      <c r="AD3" s="3"/>
      <c r="AE3" s="3"/>
      <c r="AF3" s="3"/>
      <c r="AH3" s="3"/>
      <c r="AJ3" s="3"/>
    </row>
    <row r="4" spans="1:37" x14ac:dyDescent="0.4">
      <c r="A4" s="6" t="s">
        <v>74</v>
      </c>
      <c r="B4" s="6" t="s">
        <v>48</v>
      </c>
      <c r="C4" s="4"/>
      <c r="D4" s="7" t="s">
        <v>13</v>
      </c>
      <c r="E4" s="8">
        <v>0.49</v>
      </c>
      <c r="F4" s="8">
        <v>2.9488199999999999E-2</v>
      </c>
      <c r="G4" s="8">
        <v>4.3099999999999996</v>
      </c>
      <c r="H4" s="8">
        <v>0.15281967000000002</v>
      </c>
      <c r="I4" s="8">
        <v>0.755</v>
      </c>
      <c r="J4" s="8">
        <v>3.6264914999999995E-2</v>
      </c>
      <c r="K4" s="8">
        <v>0.875</v>
      </c>
      <c r="L4" s="8">
        <v>0.3</v>
      </c>
      <c r="M4" s="8">
        <v>6.0120000000000009E-3</v>
      </c>
      <c r="N4" s="8">
        <v>0.57499999999999996</v>
      </c>
      <c r="O4" s="8">
        <v>6.992E-3</v>
      </c>
      <c r="P4" s="8">
        <v>4.68</v>
      </c>
      <c r="Q4" s="8">
        <v>0.10764</v>
      </c>
      <c r="R4" s="8">
        <v>5.12</v>
      </c>
      <c r="S4" s="8">
        <v>5</v>
      </c>
      <c r="T4" s="9">
        <v>0.33921678500000002</v>
      </c>
      <c r="W4" s="8"/>
      <c r="Y4" s="3"/>
      <c r="Z4" s="3"/>
      <c r="AB4" s="3"/>
      <c r="AC4" s="3"/>
      <c r="AD4" s="3"/>
      <c r="AE4" s="3"/>
      <c r="AF4" s="3"/>
      <c r="AH4" s="3"/>
      <c r="AJ4" s="3"/>
    </row>
    <row r="5" spans="1:37" x14ac:dyDescent="0.4">
      <c r="A5" s="6" t="s">
        <v>74</v>
      </c>
      <c r="B5" s="6" t="s">
        <v>50</v>
      </c>
      <c r="C5" s="10">
        <v>1</v>
      </c>
      <c r="D5" s="7" t="s">
        <v>14</v>
      </c>
      <c r="E5" s="11">
        <v>0.3</v>
      </c>
      <c r="F5" s="8">
        <f t="shared" ref="F5:F10" si="0">E5*0.06018</f>
        <v>1.8053999999999997E-2</v>
      </c>
      <c r="G5" s="11">
        <v>0.9</v>
      </c>
      <c r="H5" s="8">
        <f t="shared" ref="H5:H10" si="1">G5*0.035457</f>
        <v>3.1911300000000004E-2</v>
      </c>
      <c r="I5" s="8">
        <f t="shared" ref="I5:I10" si="2">(K5+S5)-R5</f>
        <v>0.39999999999999947</v>
      </c>
      <c r="J5" s="8">
        <f t="shared" ref="J5:J10" si="3">I5*0.048033</f>
        <v>1.9213199999999975E-2</v>
      </c>
      <c r="K5" s="11">
        <v>0.6</v>
      </c>
      <c r="L5" s="11">
        <v>0.2</v>
      </c>
      <c r="M5" s="8">
        <f t="shared" ref="M5:M10" si="4">L5*0.02004</f>
        <v>4.0080000000000003E-3</v>
      </c>
      <c r="N5" s="8">
        <f t="shared" ref="N5:N10" si="5">K5-L5</f>
        <v>0.39999999999999997</v>
      </c>
      <c r="O5" s="8">
        <f t="shared" ref="O5:O10" si="6">N5*0.01216</f>
        <v>4.8640000000000003E-3</v>
      </c>
      <c r="P5" s="8">
        <f t="shared" ref="P5:P10" si="7">E5+G5+I5-K5</f>
        <v>0.99999999999999944</v>
      </c>
      <c r="Q5" s="8">
        <f t="shared" ref="Q5:Q10" si="8">P5*0.023</f>
        <v>2.2999999999999986E-2</v>
      </c>
      <c r="R5" s="11">
        <v>5.2</v>
      </c>
      <c r="S5" s="11">
        <v>5</v>
      </c>
      <c r="T5" s="12">
        <f t="shared" ref="T5:T10" si="9">F5+H5+J5+M5+O5+Q5</f>
        <v>0.10105049999999996</v>
      </c>
      <c r="W5" s="8"/>
      <c r="Y5" s="3"/>
      <c r="Z5" s="3"/>
      <c r="AB5" s="3"/>
      <c r="AC5" s="3"/>
      <c r="AD5" s="3"/>
      <c r="AE5" s="3"/>
      <c r="AF5" s="3"/>
      <c r="AH5" s="3"/>
      <c r="AJ5" s="3"/>
    </row>
    <row r="6" spans="1:37" x14ac:dyDescent="0.4">
      <c r="A6" s="6" t="s">
        <v>74</v>
      </c>
      <c r="B6" s="6" t="s">
        <v>50</v>
      </c>
      <c r="C6" s="10">
        <v>13</v>
      </c>
      <c r="D6" s="7" t="s">
        <v>16</v>
      </c>
      <c r="E6" s="11">
        <v>0.45</v>
      </c>
      <c r="F6" s="8">
        <f t="shared" si="0"/>
        <v>2.7081000000000001E-2</v>
      </c>
      <c r="G6" s="11">
        <v>3.25</v>
      </c>
      <c r="H6" s="8">
        <f t="shared" si="1"/>
        <v>0.11523525000000001</v>
      </c>
      <c r="I6" s="8">
        <f t="shared" si="2"/>
        <v>0.95000000000000018</v>
      </c>
      <c r="J6" s="8">
        <f t="shared" si="3"/>
        <v>4.5631350000000008E-2</v>
      </c>
      <c r="K6" s="11">
        <v>1.2</v>
      </c>
      <c r="L6" s="11">
        <v>0.35</v>
      </c>
      <c r="M6" s="8">
        <f t="shared" si="4"/>
        <v>7.0139999999999994E-3</v>
      </c>
      <c r="N6" s="8">
        <f t="shared" si="5"/>
        <v>0.85</v>
      </c>
      <c r="O6" s="8">
        <f t="shared" si="6"/>
        <v>1.0336E-2</v>
      </c>
      <c r="P6" s="8">
        <f t="shared" si="7"/>
        <v>3.45</v>
      </c>
      <c r="Q6" s="8">
        <f t="shared" si="8"/>
        <v>7.9350000000000004E-2</v>
      </c>
      <c r="R6" s="11">
        <v>5.25</v>
      </c>
      <c r="S6" s="11">
        <v>5</v>
      </c>
      <c r="T6" s="12">
        <f t="shared" si="9"/>
        <v>0.2846476</v>
      </c>
      <c r="W6" s="8"/>
      <c r="Y6" s="3"/>
      <c r="Z6" s="3"/>
      <c r="AB6" s="3"/>
      <c r="AC6" s="3"/>
      <c r="AD6" s="3"/>
      <c r="AE6" s="3"/>
      <c r="AF6" s="3"/>
      <c r="AH6" s="3"/>
      <c r="AJ6" s="3"/>
    </row>
    <row r="7" spans="1:37" x14ac:dyDescent="0.4">
      <c r="A7" s="6" t="s">
        <v>74</v>
      </c>
      <c r="B7" s="6" t="s">
        <v>50</v>
      </c>
      <c r="C7" s="10">
        <v>19</v>
      </c>
      <c r="D7" s="7" t="s">
        <v>51</v>
      </c>
      <c r="E7" s="11">
        <v>0.55000000000000004</v>
      </c>
      <c r="F7" s="8">
        <f t="shared" si="0"/>
        <v>3.3099000000000003E-2</v>
      </c>
      <c r="G7" s="11">
        <v>3.75</v>
      </c>
      <c r="H7" s="8">
        <f t="shared" si="1"/>
        <v>0.13296375000000002</v>
      </c>
      <c r="I7" s="8">
        <f t="shared" si="2"/>
        <v>0.70000000000000018</v>
      </c>
      <c r="J7" s="8">
        <f t="shared" si="3"/>
        <v>3.362310000000001E-2</v>
      </c>
      <c r="K7" s="11">
        <v>1</v>
      </c>
      <c r="L7" s="11">
        <v>0.25</v>
      </c>
      <c r="M7" s="8">
        <f t="shared" si="4"/>
        <v>5.0099999999999997E-3</v>
      </c>
      <c r="N7" s="8">
        <f t="shared" si="5"/>
        <v>0.75</v>
      </c>
      <c r="O7" s="8">
        <f t="shared" si="6"/>
        <v>9.1199999999999996E-3</v>
      </c>
      <c r="P7" s="8">
        <f t="shared" si="7"/>
        <v>4</v>
      </c>
      <c r="Q7" s="8">
        <f t="shared" si="8"/>
        <v>9.1999999999999998E-2</v>
      </c>
      <c r="R7" s="11">
        <v>5.3</v>
      </c>
      <c r="S7" s="11">
        <v>5</v>
      </c>
      <c r="T7" s="12">
        <f t="shared" si="9"/>
        <v>0.30581585</v>
      </c>
      <c r="W7" s="8"/>
      <c r="Y7" s="3"/>
      <c r="Z7" s="3"/>
      <c r="AB7" s="3"/>
      <c r="AC7" s="3"/>
      <c r="AD7" s="3"/>
      <c r="AE7" s="3"/>
      <c r="AF7" s="3"/>
      <c r="AH7" s="3"/>
      <c r="AJ7" s="3"/>
    </row>
    <row r="8" spans="1:37" x14ac:dyDescent="0.4">
      <c r="A8" s="6" t="s">
        <v>74</v>
      </c>
      <c r="B8" s="6" t="s">
        <v>52</v>
      </c>
      <c r="C8" s="10">
        <v>14</v>
      </c>
      <c r="D8" s="7" t="s">
        <v>19</v>
      </c>
      <c r="E8" s="11">
        <v>0.55000000000000004</v>
      </c>
      <c r="F8" s="8">
        <f t="shared" si="0"/>
        <v>3.3099000000000003E-2</v>
      </c>
      <c r="G8" s="11">
        <v>2.35</v>
      </c>
      <c r="H8" s="8">
        <f t="shared" si="1"/>
        <v>8.3323950000000008E-2</v>
      </c>
      <c r="I8" s="8">
        <f t="shared" si="2"/>
        <v>0.54999999999999982</v>
      </c>
      <c r="J8" s="8">
        <f t="shared" si="3"/>
        <v>2.6418149999999991E-2</v>
      </c>
      <c r="K8" s="11">
        <v>0.7</v>
      </c>
      <c r="L8" s="11">
        <v>0.3</v>
      </c>
      <c r="M8" s="8">
        <f t="shared" si="4"/>
        <v>6.0119999999999991E-3</v>
      </c>
      <c r="N8" s="8">
        <f t="shared" si="5"/>
        <v>0.39999999999999997</v>
      </c>
      <c r="O8" s="8">
        <f t="shared" si="6"/>
        <v>4.8640000000000003E-3</v>
      </c>
      <c r="P8" s="8">
        <f t="shared" si="7"/>
        <v>2.75</v>
      </c>
      <c r="Q8" s="8">
        <f t="shared" si="8"/>
        <v>6.3250000000000001E-2</v>
      </c>
      <c r="R8" s="11">
        <v>5.15</v>
      </c>
      <c r="S8" s="11">
        <v>5</v>
      </c>
      <c r="T8" s="12">
        <f t="shared" si="9"/>
        <v>0.2169671</v>
      </c>
      <c r="W8" s="8"/>
      <c r="Y8" s="3"/>
      <c r="Z8" s="3"/>
      <c r="AB8" s="3"/>
      <c r="AC8" s="3"/>
      <c r="AD8" s="3"/>
      <c r="AE8" s="3"/>
      <c r="AF8" s="3"/>
      <c r="AH8" s="3"/>
      <c r="AJ8" s="3"/>
    </row>
    <row r="9" spans="1:37" x14ac:dyDescent="0.4">
      <c r="A9" s="6" t="s">
        <v>74</v>
      </c>
      <c r="B9" s="6" t="s">
        <v>52</v>
      </c>
      <c r="C9" s="10">
        <v>2</v>
      </c>
      <c r="D9" s="7" t="s">
        <v>17</v>
      </c>
      <c r="E9" s="11">
        <v>0.35</v>
      </c>
      <c r="F9" s="8">
        <f t="shared" si="0"/>
        <v>2.1062999999999998E-2</v>
      </c>
      <c r="G9" s="11">
        <v>2.6</v>
      </c>
      <c r="H9" s="8">
        <f t="shared" si="1"/>
        <v>9.2188200000000012E-2</v>
      </c>
      <c r="I9" s="8">
        <f t="shared" si="2"/>
        <v>0.55000000000000071</v>
      </c>
      <c r="J9" s="8">
        <f t="shared" si="3"/>
        <v>2.6418150000000033E-2</v>
      </c>
      <c r="K9" s="11">
        <v>1.1499999999999999</v>
      </c>
      <c r="L9" s="11">
        <v>0.3</v>
      </c>
      <c r="M9" s="8">
        <f t="shared" si="4"/>
        <v>6.0119999999999991E-3</v>
      </c>
      <c r="N9" s="8">
        <f t="shared" si="5"/>
        <v>0.84999999999999987</v>
      </c>
      <c r="O9" s="8">
        <f t="shared" si="6"/>
        <v>1.0336E-2</v>
      </c>
      <c r="P9" s="8">
        <f t="shared" si="7"/>
        <v>2.350000000000001</v>
      </c>
      <c r="Q9" s="8">
        <f t="shared" si="8"/>
        <v>5.4050000000000022E-2</v>
      </c>
      <c r="R9" s="11">
        <v>5.6</v>
      </c>
      <c r="S9" s="11">
        <v>5</v>
      </c>
      <c r="T9" s="12">
        <f t="shared" si="9"/>
        <v>0.21006735000000007</v>
      </c>
      <c r="W9" s="8"/>
      <c r="Y9" s="3"/>
      <c r="Z9" s="3"/>
      <c r="AB9" s="3"/>
      <c r="AC9" s="3"/>
      <c r="AD9" s="3"/>
      <c r="AE9" s="3"/>
      <c r="AF9" s="3"/>
      <c r="AH9" s="3"/>
      <c r="AJ9" s="3"/>
    </row>
    <row r="10" spans="1:37" s="14" customFormat="1" x14ac:dyDescent="0.4">
      <c r="A10" s="13" t="s">
        <v>74</v>
      </c>
      <c r="B10" s="13" t="s">
        <v>52</v>
      </c>
      <c r="C10" s="14">
        <v>20</v>
      </c>
      <c r="D10" s="15" t="s">
        <v>53</v>
      </c>
      <c r="E10" s="16">
        <v>0.5</v>
      </c>
      <c r="F10" s="17">
        <f t="shared" si="0"/>
        <v>3.0089999999999999E-2</v>
      </c>
      <c r="G10" s="16">
        <v>2.6</v>
      </c>
      <c r="H10" s="17">
        <f t="shared" si="1"/>
        <v>9.2188200000000012E-2</v>
      </c>
      <c r="I10" s="17">
        <f t="shared" si="2"/>
        <v>0.54999999999999982</v>
      </c>
      <c r="J10" s="17">
        <f t="shared" si="3"/>
        <v>2.6418149999999991E-2</v>
      </c>
      <c r="K10" s="16">
        <v>0.75</v>
      </c>
      <c r="L10" s="16">
        <v>0.2</v>
      </c>
      <c r="M10" s="17">
        <f t="shared" si="4"/>
        <v>4.0080000000000003E-3</v>
      </c>
      <c r="N10" s="17">
        <f t="shared" si="5"/>
        <v>0.55000000000000004</v>
      </c>
      <c r="O10" s="17">
        <f t="shared" si="6"/>
        <v>6.6880000000000012E-3</v>
      </c>
      <c r="P10" s="17">
        <f t="shared" si="7"/>
        <v>2.9</v>
      </c>
      <c r="Q10" s="17">
        <f t="shared" si="8"/>
        <v>6.6699999999999995E-2</v>
      </c>
      <c r="R10" s="16">
        <v>5.2</v>
      </c>
      <c r="S10" s="16">
        <v>5</v>
      </c>
      <c r="T10" s="18">
        <f t="shared" si="9"/>
        <v>0.22609235</v>
      </c>
      <c r="V10" s="3"/>
      <c r="W10" s="8"/>
      <c r="Y10" s="3"/>
      <c r="Z10" s="3"/>
      <c r="AB10" s="3"/>
      <c r="AC10" s="3"/>
      <c r="AD10" s="3"/>
      <c r="AE10" s="3"/>
      <c r="AF10" s="3"/>
      <c r="AH10" s="3"/>
      <c r="AI10" s="10"/>
      <c r="AJ10" s="3"/>
      <c r="AK10" s="10"/>
    </row>
    <row r="11" spans="1:37" s="3" customFormat="1" x14ac:dyDescent="0.4">
      <c r="A11" s="6" t="s">
        <v>75</v>
      </c>
      <c r="B11" s="6" t="s">
        <v>48</v>
      </c>
      <c r="C11" s="4"/>
      <c r="D11" s="7" t="s">
        <v>54</v>
      </c>
      <c r="E11" s="3">
        <v>0.36499999999999999</v>
      </c>
      <c r="F11" s="3">
        <v>2.1965699999999998E-2</v>
      </c>
      <c r="G11" s="3">
        <v>8.0399999999999991</v>
      </c>
      <c r="H11" s="3">
        <v>0.28507428000000001</v>
      </c>
      <c r="I11" s="3">
        <v>1.5549999999999999</v>
      </c>
      <c r="J11" s="3">
        <v>7.4691315000000036E-2</v>
      </c>
      <c r="K11" s="3">
        <v>3.2250000000000001</v>
      </c>
      <c r="L11" s="3">
        <v>1.5249999999999999</v>
      </c>
      <c r="M11" s="3">
        <v>3.0560999999999998E-2</v>
      </c>
      <c r="N11" s="3">
        <v>1.7</v>
      </c>
      <c r="O11" s="3">
        <v>2.0672000000000003E-2</v>
      </c>
      <c r="P11" s="3">
        <v>6.7350000000000003</v>
      </c>
      <c r="Q11" s="3">
        <v>0.15490500000000001</v>
      </c>
      <c r="R11" s="3">
        <v>11.67</v>
      </c>
      <c r="S11" s="3">
        <v>10</v>
      </c>
      <c r="T11" s="3">
        <v>0.58786929500000007</v>
      </c>
      <c r="U11" s="8"/>
      <c r="W11" s="8"/>
    </row>
    <row r="12" spans="1:37" s="3" customFormat="1" x14ac:dyDescent="0.4">
      <c r="A12" s="6" t="s">
        <v>75</v>
      </c>
      <c r="B12" s="6" t="s">
        <v>48</v>
      </c>
      <c r="C12" s="4"/>
      <c r="D12" s="7" t="s">
        <v>55</v>
      </c>
      <c r="E12" s="3">
        <v>0.375</v>
      </c>
      <c r="F12" s="3">
        <v>2.2567499999999997E-2</v>
      </c>
      <c r="G12" s="3">
        <v>19.97</v>
      </c>
      <c r="H12" s="3">
        <v>0.70807629000000005</v>
      </c>
      <c r="I12" s="3">
        <v>1.53</v>
      </c>
      <c r="J12" s="3">
        <v>7.3490490000000006E-2</v>
      </c>
      <c r="K12" s="3">
        <v>4.3600000000000003</v>
      </c>
      <c r="L12" s="3">
        <v>1.36</v>
      </c>
      <c r="M12" s="3">
        <v>2.7254400000000002E-2</v>
      </c>
      <c r="N12" s="3">
        <v>3</v>
      </c>
      <c r="O12" s="3">
        <v>3.6479999999999999E-2</v>
      </c>
      <c r="P12" s="3">
        <v>17.515000000000001</v>
      </c>
      <c r="Q12" s="3">
        <v>0.40284499999999995</v>
      </c>
      <c r="R12" s="3">
        <v>12.83</v>
      </c>
      <c r="S12" s="3">
        <v>10</v>
      </c>
      <c r="T12" s="3">
        <v>1.2707136800000001</v>
      </c>
      <c r="U12" s="8"/>
      <c r="W12" s="8"/>
    </row>
    <row r="13" spans="1:37" x14ac:dyDescent="0.4">
      <c r="A13" s="6" t="s">
        <v>75</v>
      </c>
      <c r="B13" s="6" t="s">
        <v>48</v>
      </c>
      <c r="D13" s="7" t="s">
        <v>56</v>
      </c>
      <c r="E13" s="3">
        <v>0.37</v>
      </c>
      <c r="F13" s="3">
        <v>2.2266599999999998E-2</v>
      </c>
      <c r="G13" s="3">
        <v>14.005000000000001</v>
      </c>
      <c r="H13" s="3">
        <v>0.49657528500000003</v>
      </c>
      <c r="I13" s="3">
        <v>1.5425</v>
      </c>
      <c r="J13" s="3">
        <v>7.4090902500000028E-2</v>
      </c>
      <c r="K13" s="3">
        <v>3.7925</v>
      </c>
      <c r="L13" s="3">
        <v>1.4424999999999999</v>
      </c>
      <c r="M13" s="3">
        <v>2.8907699999999998E-2</v>
      </c>
      <c r="N13" s="3">
        <v>2.35</v>
      </c>
      <c r="O13" s="3">
        <v>2.8576000000000001E-2</v>
      </c>
      <c r="P13" s="3">
        <v>12.125</v>
      </c>
      <c r="Q13" s="3">
        <v>0.27887499999999998</v>
      </c>
      <c r="R13" s="3"/>
      <c r="S13" s="3"/>
      <c r="T13" s="3">
        <v>0.9292914874999999</v>
      </c>
      <c r="W13" s="8"/>
      <c r="Y13" s="3"/>
      <c r="Z13" s="3"/>
      <c r="AB13" s="3"/>
      <c r="AC13" s="3"/>
      <c r="AD13" s="3"/>
      <c r="AE13" s="3"/>
      <c r="AF13" s="3"/>
      <c r="AH13" s="3"/>
      <c r="AJ13" s="3"/>
    </row>
    <row r="14" spans="1:37" x14ac:dyDescent="0.4">
      <c r="A14" s="6" t="s">
        <v>75</v>
      </c>
      <c r="B14" s="6" t="s">
        <v>50</v>
      </c>
      <c r="C14" s="10">
        <v>3</v>
      </c>
      <c r="D14" s="7" t="s">
        <v>31</v>
      </c>
      <c r="E14" s="11">
        <v>0.3</v>
      </c>
      <c r="F14" s="8">
        <f t="shared" ref="F14:F19" si="10">E14*0.06018</f>
        <v>1.8053999999999997E-2</v>
      </c>
      <c r="G14" s="11">
        <v>2</v>
      </c>
      <c r="H14" s="8">
        <f t="shared" ref="H14:H19" si="11">G14*0.035457</f>
        <v>7.0914000000000005E-2</v>
      </c>
      <c r="I14" s="8">
        <f t="shared" ref="I14:I19" si="12">(K14+S14)-R14</f>
        <v>0.64999999999999947</v>
      </c>
      <c r="J14" s="8">
        <f t="shared" ref="J14:J19" si="13">I14*0.048033</f>
        <v>3.1221449999999974E-2</v>
      </c>
      <c r="K14" s="11">
        <v>1.35</v>
      </c>
      <c r="L14" s="11">
        <v>0.3</v>
      </c>
      <c r="M14" s="8">
        <f t="shared" ref="M14:M19" si="14">L14*0.02004</f>
        <v>6.0119999999999991E-3</v>
      </c>
      <c r="N14" s="8">
        <f t="shared" ref="N14:N19" si="15">K14-L14</f>
        <v>1.05</v>
      </c>
      <c r="O14" s="8">
        <f t="shared" ref="O14:O19" si="16">N14*0.01216</f>
        <v>1.2768000000000002E-2</v>
      </c>
      <c r="P14" s="8">
        <f t="shared" ref="P14:P19" si="17">E14+G14+I14-K14</f>
        <v>1.5999999999999992</v>
      </c>
      <c r="Q14" s="8">
        <f t="shared" ref="Q14:Q19" si="18">P14*0.023</f>
        <v>3.6799999999999979E-2</v>
      </c>
      <c r="R14" s="11">
        <v>5.7</v>
      </c>
      <c r="S14" s="11">
        <v>5</v>
      </c>
      <c r="T14" s="12">
        <f t="shared" ref="T14:T19" si="19">F14+H14+J14+M14+O14+Q14</f>
        <v>0.17576944999999994</v>
      </c>
      <c r="W14" s="8"/>
      <c r="Y14" s="3"/>
      <c r="Z14" s="3"/>
      <c r="AB14" s="3"/>
      <c r="AC14" s="3"/>
      <c r="AD14" s="3"/>
      <c r="AE14" s="3"/>
      <c r="AF14" s="3"/>
      <c r="AH14" s="3"/>
      <c r="AJ14" s="3"/>
    </row>
    <row r="15" spans="1:37" x14ac:dyDescent="0.4">
      <c r="A15" s="6" t="s">
        <v>75</v>
      </c>
      <c r="B15" s="6" t="s">
        <v>50</v>
      </c>
      <c r="C15" s="10">
        <v>15</v>
      </c>
      <c r="D15" s="7" t="s">
        <v>32</v>
      </c>
      <c r="E15" s="11">
        <v>0.45</v>
      </c>
      <c r="F15" s="8">
        <f t="shared" si="10"/>
        <v>2.7081000000000001E-2</v>
      </c>
      <c r="G15" s="11">
        <v>6.5</v>
      </c>
      <c r="H15" s="8">
        <f t="shared" si="11"/>
        <v>0.23047050000000002</v>
      </c>
      <c r="I15" s="8">
        <f t="shared" si="12"/>
        <v>0.84999999999999964</v>
      </c>
      <c r="J15" s="8">
        <f t="shared" si="13"/>
        <v>4.0828049999999984E-2</v>
      </c>
      <c r="K15" s="11">
        <v>1.6</v>
      </c>
      <c r="L15" s="11">
        <v>0.5</v>
      </c>
      <c r="M15" s="8">
        <f t="shared" si="14"/>
        <v>1.0019999999999999E-2</v>
      </c>
      <c r="N15" s="8">
        <f t="shared" si="15"/>
        <v>1.1000000000000001</v>
      </c>
      <c r="O15" s="8">
        <f t="shared" si="16"/>
        <v>1.3376000000000002E-2</v>
      </c>
      <c r="P15" s="8">
        <f t="shared" si="17"/>
        <v>6.1999999999999993</v>
      </c>
      <c r="Q15" s="8">
        <f t="shared" si="18"/>
        <v>0.14259999999999998</v>
      </c>
      <c r="R15" s="11">
        <v>5.75</v>
      </c>
      <c r="S15" s="11">
        <v>5</v>
      </c>
      <c r="T15" s="12">
        <f t="shared" si="19"/>
        <v>0.46437554999999997</v>
      </c>
      <c r="W15" s="8"/>
      <c r="Y15" s="3"/>
      <c r="Z15" s="3"/>
      <c r="AB15" s="3"/>
      <c r="AC15" s="3"/>
      <c r="AD15" s="3"/>
      <c r="AE15" s="3"/>
      <c r="AF15" s="3"/>
      <c r="AH15" s="3"/>
      <c r="AJ15" s="3"/>
    </row>
    <row r="16" spans="1:37" x14ac:dyDescent="0.4">
      <c r="A16" s="6" t="s">
        <v>75</v>
      </c>
      <c r="B16" s="6" t="s">
        <v>50</v>
      </c>
      <c r="C16" s="10">
        <v>21</v>
      </c>
      <c r="D16" s="7" t="s">
        <v>57</v>
      </c>
      <c r="E16" s="11">
        <v>0.5</v>
      </c>
      <c r="F16" s="8">
        <f t="shared" si="10"/>
        <v>3.0089999999999999E-2</v>
      </c>
      <c r="G16" s="11">
        <v>1.7</v>
      </c>
      <c r="H16" s="8">
        <f t="shared" si="11"/>
        <v>6.0276900000000001E-2</v>
      </c>
      <c r="I16" s="8">
        <f t="shared" si="12"/>
        <v>0.44999999999999929</v>
      </c>
      <c r="J16" s="8">
        <f t="shared" si="13"/>
        <v>2.1614849999999967E-2</v>
      </c>
      <c r="K16" s="11">
        <v>0.6</v>
      </c>
      <c r="L16" s="11">
        <v>0.2</v>
      </c>
      <c r="M16" s="8">
        <f t="shared" si="14"/>
        <v>4.0080000000000003E-3</v>
      </c>
      <c r="N16" s="8">
        <f t="shared" si="15"/>
        <v>0.39999999999999997</v>
      </c>
      <c r="O16" s="8">
        <f t="shared" si="16"/>
        <v>4.8640000000000003E-3</v>
      </c>
      <c r="P16" s="8">
        <f t="shared" si="17"/>
        <v>2.0499999999999994</v>
      </c>
      <c r="Q16" s="8">
        <f t="shared" si="18"/>
        <v>4.7149999999999984E-2</v>
      </c>
      <c r="R16" s="11">
        <v>5.15</v>
      </c>
      <c r="S16" s="11">
        <v>5</v>
      </c>
      <c r="T16" s="12">
        <f t="shared" si="19"/>
        <v>0.16800374999999995</v>
      </c>
      <c r="W16" s="8"/>
      <c r="Y16" s="3"/>
      <c r="Z16" s="3"/>
      <c r="AB16" s="3"/>
      <c r="AC16" s="3"/>
      <c r="AD16" s="3"/>
      <c r="AE16" s="3"/>
      <c r="AF16" s="3"/>
      <c r="AH16" s="3"/>
      <c r="AJ16" s="3"/>
    </row>
    <row r="17" spans="1:37" x14ac:dyDescent="0.4">
      <c r="A17" s="6" t="s">
        <v>75</v>
      </c>
      <c r="B17" s="6" t="s">
        <v>52</v>
      </c>
      <c r="C17" s="10">
        <v>4</v>
      </c>
      <c r="D17" s="7" t="s">
        <v>33</v>
      </c>
      <c r="E17" s="11">
        <v>0.3</v>
      </c>
      <c r="F17" s="8">
        <f t="shared" si="10"/>
        <v>1.8053999999999997E-2</v>
      </c>
      <c r="G17" s="11">
        <v>3.2</v>
      </c>
      <c r="H17" s="8">
        <f t="shared" si="11"/>
        <v>0.11346240000000002</v>
      </c>
      <c r="I17" s="8">
        <f t="shared" si="12"/>
        <v>1.0999999999999996</v>
      </c>
      <c r="J17" s="8">
        <f t="shared" si="13"/>
        <v>5.2836299999999982E-2</v>
      </c>
      <c r="K17" s="11">
        <v>1.1000000000000001</v>
      </c>
      <c r="L17" s="11">
        <v>0.25</v>
      </c>
      <c r="M17" s="8">
        <f t="shared" si="14"/>
        <v>5.0099999999999997E-3</v>
      </c>
      <c r="N17" s="8">
        <f t="shared" si="15"/>
        <v>0.85000000000000009</v>
      </c>
      <c r="O17" s="8">
        <f t="shared" si="16"/>
        <v>1.0336000000000001E-2</v>
      </c>
      <c r="P17" s="8">
        <f t="shared" si="17"/>
        <v>3.4999999999999996</v>
      </c>
      <c r="Q17" s="8">
        <f t="shared" si="18"/>
        <v>8.0499999999999988E-2</v>
      </c>
      <c r="R17" s="11">
        <v>5</v>
      </c>
      <c r="S17" s="11">
        <v>5</v>
      </c>
      <c r="T17" s="12">
        <f t="shared" si="19"/>
        <v>0.28019869999999997</v>
      </c>
      <c r="W17" s="8"/>
      <c r="Y17" s="3"/>
      <c r="Z17" s="3"/>
      <c r="AB17" s="3"/>
      <c r="AC17" s="3"/>
      <c r="AD17" s="3"/>
      <c r="AE17" s="3"/>
      <c r="AF17" s="3"/>
      <c r="AH17" s="3"/>
      <c r="AJ17" s="3"/>
    </row>
    <row r="18" spans="1:37" x14ac:dyDescent="0.4">
      <c r="A18" s="6" t="s">
        <v>75</v>
      </c>
      <c r="B18" s="6" t="s">
        <v>52</v>
      </c>
      <c r="C18" s="10">
        <v>16</v>
      </c>
      <c r="D18" s="7" t="s">
        <v>34</v>
      </c>
      <c r="E18" s="11">
        <v>0.45</v>
      </c>
      <c r="F18" s="8">
        <f t="shared" si="10"/>
        <v>2.7081000000000001E-2</v>
      </c>
      <c r="G18" s="11">
        <v>3.7</v>
      </c>
      <c r="H18" s="8">
        <f t="shared" si="11"/>
        <v>0.13119090000000003</v>
      </c>
      <c r="I18" s="8">
        <f t="shared" si="12"/>
        <v>0.95000000000000018</v>
      </c>
      <c r="J18" s="8">
        <f t="shared" si="13"/>
        <v>4.5631350000000008E-2</v>
      </c>
      <c r="K18" s="11">
        <v>1.2</v>
      </c>
      <c r="L18" s="11">
        <v>0.3</v>
      </c>
      <c r="M18" s="8">
        <f t="shared" si="14"/>
        <v>6.0119999999999991E-3</v>
      </c>
      <c r="N18" s="8">
        <f t="shared" si="15"/>
        <v>0.89999999999999991</v>
      </c>
      <c r="O18" s="8">
        <f t="shared" si="16"/>
        <v>1.0943999999999999E-2</v>
      </c>
      <c r="P18" s="8">
        <f t="shared" si="17"/>
        <v>3.9000000000000004</v>
      </c>
      <c r="Q18" s="8">
        <f t="shared" si="18"/>
        <v>8.9700000000000002E-2</v>
      </c>
      <c r="R18" s="11">
        <v>5.25</v>
      </c>
      <c r="S18" s="11">
        <v>5</v>
      </c>
      <c r="T18" s="12">
        <f t="shared" si="19"/>
        <v>0.31055925000000006</v>
      </c>
      <c r="W18" s="8"/>
      <c r="Y18" s="3"/>
      <c r="Z18" s="3"/>
      <c r="AB18" s="3"/>
      <c r="AC18" s="3"/>
      <c r="AD18" s="3"/>
      <c r="AE18" s="3"/>
      <c r="AF18" s="3"/>
      <c r="AH18" s="3"/>
      <c r="AJ18" s="3"/>
    </row>
    <row r="19" spans="1:37" s="14" customFormat="1" x14ac:dyDescent="0.4">
      <c r="A19" s="13" t="s">
        <v>75</v>
      </c>
      <c r="B19" s="13" t="s">
        <v>52</v>
      </c>
      <c r="C19" s="14">
        <v>22</v>
      </c>
      <c r="D19" s="15" t="s">
        <v>58</v>
      </c>
      <c r="E19" s="16">
        <v>0.55000000000000004</v>
      </c>
      <c r="F19" s="17">
        <f t="shared" si="10"/>
        <v>3.3099000000000003E-2</v>
      </c>
      <c r="G19" s="16">
        <v>2.95</v>
      </c>
      <c r="H19" s="17">
        <f t="shared" si="11"/>
        <v>0.10459815000000001</v>
      </c>
      <c r="I19" s="17">
        <f t="shared" si="12"/>
        <v>0.75</v>
      </c>
      <c r="J19" s="17">
        <f t="shared" si="13"/>
        <v>3.6024750000000001E-2</v>
      </c>
      <c r="K19" s="16">
        <v>0.95</v>
      </c>
      <c r="L19" s="16">
        <v>0.25</v>
      </c>
      <c r="M19" s="17">
        <f t="shared" si="14"/>
        <v>5.0099999999999997E-3</v>
      </c>
      <c r="N19" s="17">
        <f t="shared" si="15"/>
        <v>0.7</v>
      </c>
      <c r="O19" s="17">
        <f t="shared" si="16"/>
        <v>8.5120000000000005E-3</v>
      </c>
      <c r="P19" s="17">
        <f t="shared" si="17"/>
        <v>3.3</v>
      </c>
      <c r="Q19" s="17">
        <f t="shared" si="18"/>
        <v>7.5899999999999995E-2</v>
      </c>
      <c r="R19" s="16">
        <v>5.2</v>
      </c>
      <c r="S19" s="16">
        <v>5</v>
      </c>
      <c r="T19" s="18">
        <f t="shared" si="19"/>
        <v>0.26314389999999999</v>
      </c>
      <c r="V19" s="3"/>
      <c r="W19" s="8"/>
      <c r="Y19" s="3"/>
      <c r="Z19" s="3"/>
      <c r="AB19" s="3"/>
      <c r="AC19" s="3"/>
      <c r="AD19" s="3"/>
      <c r="AE19" s="3"/>
      <c r="AF19" s="3"/>
      <c r="AH19" s="3"/>
      <c r="AJ19" s="3"/>
    </row>
    <row r="20" spans="1:37" s="3" customFormat="1" x14ac:dyDescent="0.4">
      <c r="A20" s="6" t="s">
        <v>76</v>
      </c>
      <c r="B20" s="6" t="s">
        <v>48</v>
      </c>
      <c r="C20" s="4"/>
      <c r="D20" s="7" t="s">
        <v>59</v>
      </c>
      <c r="E20" s="3">
        <v>0.34499999999999997</v>
      </c>
      <c r="F20" s="3">
        <v>2.0762099999999999E-2</v>
      </c>
      <c r="G20" s="3">
        <v>12.01</v>
      </c>
      <c r="H20" s="3">
        <v>0.42583856999999997</v>
      </c>
      <c r="I20" s="3">
        <v>1.325</v>
      </c>
      <c r="J20" s="3">
        <v>6.3643725000000012E-2</v>
      </c>
      <c r="K20" s="3">
        <v>2.895</v>
      </c>
      <c r="L20" s="3">
        <v>0.81</v>
      </c>
      <c r="M20" s="3">
        <v>1.6232400000000001E-2</v>
      </c>
      <c r="N20" s="3">
        <v>2.085</v>
      </c>
      <c r="O20" s="3">
        <v>2.5353599999999997E-2</v>
      </c>
      <c r="P20" s="3">
        <v>10.785</v>
      </c>
      <c r="Q20" s="3">
        <v>0.248055</v>
      </c>
      <c r="R20" s="3">
        <v>6.57</v>
      </c>
      <c r="S20" s="3">
        <v>5</v>
      </c>
      <c r="T20" s="3">
        <v>0.799885395</v>
      </c>
      <c r="U20" s="8"/>
      <c r="W20" s="8"/>
    </row>
    <row r="21" spans="1:37" s="3" customFormat="1" x14ac:dyDescent="0.4">
      <c r="A21" s="6" t="s">
        <v>76</v>
      </c>
      <c r="B21" s="6" t="s">
        <v>48</v>
      </c>
      <c r="C21" s="4"/>
      <c r="D21" s="7" t="s">
        <v>60</v>
      </c>
      <c r="E21" s="3">
        <v>0.41</v>
      </c>
      <c r="F21" s="3">
        <v>2.4673799999999996E-2</v>
      </c>
      <c r="G21" s="3">
        <v>13.69</v>
      </c>
      <c r="H21" s="3">
        <v>0.48540633</v>
      </c>
      <c r="I21" s="3">
        <v>1.375</v>
      </c>
      <c r="J21" s="3">
        <v>6.604537499999999E-2</v>
      </c>
      <c r="K21" s="3">
        <v>2.87</v>
      </c>
      <c r="L21" s="3">
        <v>0.91</v>
      </c>
      <c r="M21" s="3">
        <v>1.8236399999999996E-2</v>
      </c>
      <c r="N21" s="3">
        <v>1.96</v>
      </c>
      <c r="O21" s="3">
        <v>2.38336E-2</v>
      </c>
      <c r="P21" s="3">
        <v>12.605</v>
      </c>
      <c r="Q21" s="3">
        <v>0.28991499999999998</v>
      </c>
      <c r="R21" s="3">
        <v>6.4950000000000001</v>
      </c>
      <c r="S21" s="3">
        <v>5</v>
      </c>
      <c r="T21" s="3">
        <v>0.90811050500000001</v>
      </c>
      <c r="U21" s="8"/>
      <c r="W21" s="8"/>
    </row>
    <row r="22" spans="1:37" x14ac:dyDescent="0.4">
      <c r="A22" s="6" t="s">
        <v>76</v>
      </c>
      <c r="B22" s="6" t="s">
        <v>48</v>
      </c>
      <c r="D22" s="7" t="s">
        <v>61</v>
      </c>
      <c r="E22" s="3">
        <v>0.38500000000000001</v>
      </c>
      <c r="F22" s="3">
        <v>2.3169299999999997E-2</v>
      </c>
      <c r="G22" s="3">
        <v>23.37</v>
      </c>
      <c r="H22" s="3">
        <v>0.8286300900000001</v>
      </c>
      <c r="I22" s="3">
        <v>2.46</v>
      </c>
      <c r="J22" s="3">
        <v>0.11816118</v>
      </c>
      <c r="K22" s="3">
        <v>5.14</v>
      </c>
      <c r="L22" s="3">
        <v>1.2350000000000001</v>
      </c>
      <c r="M22" s="3">
        <v>2.4749399999999998E-2</v>
      </c>
      <c r="N22" s="3">
        <v>3.9049999999999998</v>
      </c>
      <c r="O22" s="3">
        <v>4.7484800000000008E-2</v>
      </c>
      <c r="P22" s="3">
        <v>21.074999999999999</v>
      </c>
      <c r="Q22" s="3">
        <v>0.48472499999999996</v>
      </c>
      <c r="R22" s="3">
        <v>12.68</v>
      </c>
      <c r="S22" s="3">
        <v>10</v>
      </c>
      <c r="T22" s="3">
        <v>1.5269197699999999</v>
      </c>
      <c r="W22" s="8"/>
      <c r="Y22" s="3"/>
      <c r="Z22" s="3"/>
      <c r="AB22" s="3"/>
      <c r="AC22" s="3"/>
      <c r="AD22" s="3"/>
      <c r="AE22" s="3"/>
      <c r="AF22" s="3"/>
      <c r="AH22" s="3"/>
      <c r="AJ22" s="3"/>
    </row>
    <row r="23" spans="1:37" x14ac:dyDescent="0.4">
      <c r="A23" s="6" t="s">
        <v>76</v>
      </c>
      <c r="B23" s="6" t="s">
        <v>50</v>
      </c>
      <c r="C23" s="10">
        <v>5</v>
      </c>
      <c r="D23" s="7" t="s">
        <v>23</v>
      </c>
      <c r="E23" s="11">
        <v>0.3</v>
      </c>
      <c r="F23" s="8">
        <f t="shared" ref="F23:F28" si="20">E23*0.06018</f>
        <v>1.8053999999999997E-2</v>
      </c>
      <c r="G23" s="11">
        <v>3.95</v>
      </c>
      <c r="H23" s="8">
        <f t="shared" ref="H23:H28" si="21">G23*0.035457</f>
        <v>0.14005515000000002</v>
      </c>
      <c r="I23" s="8">
        <f t="shared" ref="I23:I28" si="22">(K23+S23)-R23</f>
        <v>1.25</v>
      </c>
      <c r="J23" s="8">
        <f t="shared" ref="J23:J28" si="23">I23*0.048033</f>
        <v>6.0041249999999997E-2</v>
      </c>
      <c r="K23" s="11">
        <v>1.6</v>
      </c>
      <c r="L23" s="11">
        <v>0.4</v>
      </c>
      <c r="M23" s="8">
        <f t="shared" ref="M23:M28" si="24">L23*0.02004</f>
        <v>8.0160000000000006E-3</v>
      </c>
      <c r="N23" s="8">
        <f t="shared" ref="N23:N28" si="25">K23-L23</f>
        <v>1.2000000000000002</v>
      </c>
      <c r="O23" s="8">
        <f t="shared" ref="O23:O28" si="26">N23*0.01216</f>
        <v>1.4592000000000003E-2</v>
      </c>
      <c r="P23" s="8">
        <f t="shared" ref="P23:P28" si="27">E23+G23+I23-K23</f>
        <v>3.9</v>
      </c>
      <c r="Q23" s="8">
        <f t="shared" ref="Q23:Q28" si="28">P23*0.023</f>
        <v>8.9700000000000002E-2</v>
      </c>
      <c r="R23" s="11">
        <v>5.35</v>
      </c>
      <c r="S23" s="11">
        <v>5</v>
      </c>
      <c r="T23" s="12">
        <f t="shared" ref="T23:T28" si="29">F23+H23+J23+M23+O23+Q23</f>
        <v>0.33045839999999999</v>
      </c>
      <c r="W23" s="8"/>
      <c r="Y23" s="3"/>
      <c r="Z23" s="3"/>
      <c r="AB23" s="3"/>
      <c r="AC23" s="3"/>
      <c r="AD23" s="3"/>
      <c r="AE23" s="3"/>
      <c r="AF23" s="3"/>
      <c r="AH23" s="3"/>
      <c r="AJ23" s="3"/>
    </row>
    <row r="24" spans="1:37" x14ac:dyDescent="0.4">
      <c r="A24" s="6" t="s">
        <v>76</v>
      </c>
      <c r="B24" s="6" t="s">
        <v>50</v>
      </c>
      <c r="C24" s="10">
        <v>9</v>
      </c>
      <c r="D24" s="7" t="s">
        <v>24</v>
      </c>
      <c r="E24" s="11">
        <v>0.5</v>
      </c>
      <c r="F24" s="8">
        <f t="shared" si="20"/>
        <v>3.0089999999999999E-2</v>
      </c>
      <c r="G24" s="11">
        <v>2.7</v>
      </c>
      <c r="H24" s="8">
        <f t="shared" si="21"/>
        <v>9.5733900000000011E-2</v>
      </c>
      <c r="I24" s="8">
        <f t="shared" si="22"/>
        <v>0.39999999999999947</v>
      </c>
      <c r="J24" s="8">
        <f t="shared" si="23"/>
        <v>1.9213199999999975E-2</v>
      </c>
      <c r="K24" s="11">
        <v>0.8</v>
      </c>
      <c r="L24" s="11">
        <v>0.2</v>
      </c>
      <c r="M24" s="8">
        <f t="shared" si="24"/>
        <v>4.0080000000000003E-3</v>
      </c>
      <c r="N24" s="8">
        <f t="shared" si="25"/>
        <v>0.60000000000000009</v>
      </c>
      <c r="O24" s="8">
        <f t="shared" si="26"/>
        <v>7.2960000000000013E-3</v>
      </c>
      <c r="P24" s="8">
        <f t="shared" si="27"/>
        <v>2.8</v>
      </c>
      <c r="Q24" s="8">
        <f t="shared" si="28"/>
        <v>6.4399999999999999E-2</v>
      </c>
      <c r="R24" s="11">
        <v>5.4</v>
      </c>
      <c r="S24" s="11">
        <v>5</v>
      </c>
      <c r="T24" s="12">
        <f t="shared" si="29"/>
        <v>0.22074110000000002</v>
      </c>
      <c r="W24" s="8"/>
      <c r="Y24" s="3"/>
      <c r="Z24" s="3"/>
      <c r="AB24" s="3"/>
      <c r="AC24" s="3"/>
      <c r="AD24" s="3"/>
      <c r="AE24" s="3"/>
      <c r="AF24" s="3"/>
      <c r="AH24" s="3"/>
      <c r="AJ24" s="3"/>
    </row>
    <row r="25" spans="1:37" x14ac:dyDescent="0.4">
      <c r="A25" s="6" t="s">
        <v>76</v>
      </c>
      <c r="B25" s="6" t="s">
        <v>50</v>
      </c>
      <c r="C25" s="10">
        <v>23</v>
      </c>
      <c r="D25" s="7" t="s">
        <v>25</v>
      </c>
      <c r="E25" s="11">
        <v>0.55000000000000004</v>
      </c>
      <c r="F25" s="8">
        <f t="shared" si="20"/>
        <v>3.3099000000000003E-2</v>
      </c>
      <c r="G25" s="11">
        <v>5.7</v>
      </c>
      <c r="H25" s="8">
        <f t="shared" si="21"/>
        <v>0.20210490000000003</v>
      </c>
      <c r="I25" s="8">
        <f t="shared" si="22"/>
        <v>1.0499999999999998</v>
      </c>
      <c r="J25" s="8">
        <f t="shared" si="23"/>
        <v>5.0434649999999991E-2</v>
      </c>
      <c r="K25" s="11">
        <v>1.3</v>
      </c>
      <c r="L25" s="11">
        <v>0.45</v>
      </c>
      <c r="M25" s="8">
        <f t="shared" si="24"/>
        <v>9.018E-3</v>
      </c>
      <c r="N25" s="8">
        <f t="shared" si="25"/>
        <v>0.85000000000000009</v>
      </c>
      <c r="O25" s="8">
        <f t="shared" si="26"/>
        <v>1.0336000000000001E-2</v>
      </c>
      <c r="P25" s="8">
        <f t="shared" si="27"/>
        <v>6</v>
      </c>
      <c r="Q25" s="8">
        <f t="shared" si="28"/>
        <v>0.13800000000000001</v>
      </c>
      <c r="R25" s="11">
        <v>5.25</v>
      </c>
      <c r="S25" s="11">
        <v>5</v>
      </c>
      <c r="T25" s="12">
        <f t="shared" si="29"/>
        <v>0.44299255000000004</v>
      </c>
      <c r="W25" s="8"/>
      <c r="Y25" s="3"/>
      <c r="Z25" s="3"/>
      <c r="AB25" s="3"/>
      <c r="AC25" s="3"/>
      <c r="AD25" s="3"/>
      <c r="AE25" s="3"/>
      <c r="AF25" s="3"/>
      <c r="AH25" s="3"/>
      <c r="AJ25" s="3"/>
    </row>
    <row r="26" spans="1:37" x14ac:dyDescent="0.4">
      <c r="A26" s="6" t="s">
        <v>76</v>
      </c>
      <c r="B26" s="6" t="s">
        <v>52</v>
      </c>
      <c r="C26" s="10">
        <v>6</v>
      </c>
      <c r="D26" s="7" t="s">
        <v>26</v>
      </c>
      <c r="E26" s="11">
        <v>0.35</v>
      </c>
      <c r="F26" s="8">
        <f t="shared" si="20"/>
        <v>2.1062999999999998E-2</v>
      </c>
      <c r="G26" s="11">
        <v>3.65</v>
      </c>
      <c r="H26" s="8">
        <f t="shared" si="21"/>
        <v>0.12941805000000001</v>
      </c>
      <c r="I26" s="8">
        <f t="shared" si="22"/>
        <v>0.84999999999999964</v>
      </c>
      <c r="J26" s="8">
        <f t="shared" si="23"/>
        <v>4.0828049999999984E-2</v>
      </c>
      <c r="K26" s="11">
        <v>0.85</v>
      </c>
      <c r="L26" s="11">
        <v>0.2</v>
      </c>
      <c r="M26" s="8">
        <f t="shared" si="24"/>
        <v>4.0080000000000003E-3</v>
      </c>
      <c r="N26" s="8">
        <f t="shared" si="25"/>
        <v>0.64999999999999991</v>
      </c>
      <c r="O26" s="8">
        <f t="shared" si="26"/>
        <v>7.9039999999999996E-3</v>
      </c>
      <c r="P26" s="8">
        <f t="shared" si="27"/>
        <v>3.9999999999999996</v>
      </c>
      <c r="Q26" s="8">
        <f t="shared" si="28"/>
        <v>9.1999999999999985E-2</v>
      </c>
      <c r="R26" s="11">
        <v>5</v>
      </c>
      <c r="S26" s="11">
        <v>5</v>
      </c>
      <c r="T26" s="12">
        <f t="shared" si="29"/>
        <v>0.29522109999999996</v>
      </c>
      <c r="W26" s="8"/>
      <c r="Y26" s="3"/>
      <c r="Z26" s="3"/>
      <c r="AB26" s="3"/>
      <c r="AC26" s="3"/>
      <c r="AD26" s="3"/>
      <c r="AE26" s="3"/>
      <c r="AF26" s="3"/>
      <c r="AH26" s="3"/>
      <c r="AJ26" s="3"/>
    </row>
    <row r="27" spans="1:37" x14ac:dyDescent="0.4">
      <c r="A27" s="6" t="s">
        <v>76</v>
      </c>
      <c r="B27" s="6" t="s">
        <v>52</v>
      </c>
      <c r="C27" s="10">
        <v>10</v>
      </c>
      <c r="D27" s="7" t="s">
        <v>27</v>
      </c>
      <c r="E27" s="11">
        <v>0.6</v>
      </c>
      <c r="F27" s="8">
        <f t="shared" si="20"/>
        <v>3.6107999999999994E-2</v>
      </c>
      <c r="G27" s="11">
        <v>2.8</v>
      </c>
      <c r="H27" s="8">
        <f t="shared" si="21"/>
        <v>9.9279599999999996E-2</v>
      </c>
      <c r="I27" s="8">
        <f t="shared" si="22"/>
        <v>0.79999999999999982</v>
      </c>
      <c r="J27" s="8">
        <f t="shared" si="23"/>
        <v>3.8426399999999993E-2</v>
      </c>
      <c r="K27" s="11">
        <v>0.85</v>
      </c>
      <c r="L27" s="11">
        <v>0.25</v>
      </c>
      <c r="M27" s="8">
        <f t="shared" si="24"/>
        <v>5.0099999999999997E-3</v>
      </c>
      <c r="N27" s="8">
        <f t="shared" si="25"/>
        <v>0.6</v>
      </c>
      <c r="O27" s="8">
        <f t="shared" si="26"/>
        <v>7.2960000000000004E-3</v>
      </c>
      <c r="P27" s="8">
        <f t="shared" si="27"/>
        <v>3.3499999999999992</v>
      </c>
      <c r="Q27" s="8">
        <f t="shared" si="28"/>
        <v>7.704999999999998E-2</v>
      </c>
      <c r="R27" s="11">
        <v>5.05</v>
      </c>
      <c r="S27" s="11">
        <v>5</v>
      </c>
      <c r="T27" s="12">
        <f t="shared" si="29"/>
        <v>0.26316999999999996</v>
      </c>
      <c r="W27" s="8"/>
      <c r="Y27" s="3"/>
      <c r="Z27" s="3"/>
      <c r="AB27" s="3"/>
      <c r="AC27" s="3"/>
      <c r="AD27" s="3"/>
      <c r="AE27" s="3"/>
      <c r="AF27" s="3"/>
      <c r="AH27" s="3"/>
      <c r="AJ27" s="3"/>
    </row>
    <row r="28" spans="1:37" s="14" customFormat="1" x14ac:dyDescent="0.4">
      <c r="A28" s="13" t="s">
        <v>76</v>
      </c>
      <c r="B28" s="13" t="s">
        <v>52</v>
      </c>
      <c r="C28" s="14">
        <v>24</v>
      </c>
      <c r="D28" s="15" t="s">
        <v>28</v>
      </c>
      <c r="E28" s="16">
        <v>0.5</v>
      </c>
      <c r="F28" s="17">
        <f t="shared" si="20"/>
        <v>3.0089999999999999E-2</v>
      </c>
      <c r="G28" s="16">
        <v>4.25</v>
      </c>
      <c r="H28" s="17">
        <f t="shared" si="21"/>
        <v>0.15069225</v>
      </c>
      <c r="I28" s="17">
        <f t="shared" si="22"/>
        <v>0.90000000000000036</v>
      </c>
      <c r="J28" s="17">
        <f t="shared" si="23"/>
        <v>4.3229700000000017E-2</v>
      </c>
      <c r="K28" s="16">
        <v>1.2</v>
      </c>
      <c r="L28" s="16">
        <v>0.35</v>
      </c>
      <c r="M28" s="17">
        <f t="shared" si="24"/>
        <v>7.0139999999999994E-3</v>
      </c>
      <c r="N28" s="17">
        <f t="shared" si="25"/>
        <v>0.85</v>
      </c>
      <c r="O28" s="17">
        <f t="shared" si="26"/>
        <v>1.0336E-2</v>
      </c>
      <c r="P28" s="17">
        <f t="shared" si="27"/>
        <v>4.45</v>
      </c>
      <c r="Q28" s="17">
        <f t="shared" si="28"/>
        <v>0.10235</v>
      </c>
      <c r="R28" s="16">
        <v>5.3</v>
      </c>
      <c r="S28" s="16">
        <v>5</v>
      </c>
      <c r="T28" s="18">
        <f t="shared" si="29"/>
        <v>0.34371194999999999</v>
      </c>
      <c r="V28" s="3"/>
      <c r="W28" s="8"/>
      <c r="Y28" s="3"/>
      <c r="Z28" s="3"/>
      <c r="AB28" s="3"/>
      <c r="AC28" s="3"/>
      <c r="AD28" s="3"/>
      <c r="AE28" s="3"/>
      <c r="AF28" s="3"/>
      <c r="AH28" s="3"/>
      <c r="AI28" s="10"/>
      <c r="AJ28" s="3"/>
      <c r="AK28" s="10"/>
    </row>
    <row r="29" spans="1:37" s="3" customFormat="1" x14ac:dyDescent="0.4">
      <c r="A29" s="6" t="s">
        <v>77</v>
      </c>
      <c r="B29" s="6" t="s">
        <v>48</v>
      </c>
      <c r="C29" s="4"/>
      <c r="D29" s="7" t="s">
        <v>62</v>
      </c>
      <c r="E29" s="3">
        <v>0.33</v>
      </c>
      <c r="F29" s="3">
        <v>1.9859399999999999E-2</v>
      </c>
      <c r="G29" s="3">
        <v>37.5</v>
      </c>
      <c r="H29" s="3">
        <v>1.3296375</v>
      </c>
      <c r="I29" s="3">
        <v>4.8250000000000002</v>
      </c>
      <c r="J29" s="3">
        <v>0.23175922500000001</v>
      </c>
      <c r="K29" s="3">
        <v>11.965</v>
      </c>
      <c r="L29" s="3">
        <v>2.6749999999999998</v>
      </c>
      <c r="M29" s="3">
        <v>5.3607000000000002E-2</v>
      </c>
      <c r="N29" s="3">
        <v>9.2899999999999991</v>
      </c>
      <c r="O29" s="3">
        <v>0.11296639999999999</v>
      </c>
      <c r="P29" s="3">
        <v>30.69</v>
      </c>
      <c r="Q29" s="3">
        <v>0.70587000000000011</v>
      </c>
      <c r="R29" s="3">
        <v>27.14</v>
      </c>
      <c r="S29" s="3">
        <v>20</v>
      </c>
      <c r="T29" s="3">
        <v>2.4536995250000002</v>
      </c>
      <c r="U29" s="8"/>
      <c r="W29" s="8"/>
    </row>
    <row r="30" spans="1:37" s="3" customFormat="1" x14ac:dyDescent="0.4">
      <c r="A30" s="6" t="s">
        <v>77</v>
      </c>
      <c r="B30" s="6" t="s">
        <v>48</v>
      </c>
      <c r="C30" s="4"/>
      <c r="D30" s="7" t="s">
        <v>63</v>
      </c>
      <c r="E30" s="3">
        <v>0.378</v>
      </c>
      <c r="F30" s="3">
        <v>2.2748039999999997E-2</v>
      </c>
      <c r="G30" s="3">
        <v>13.08</v>
      </c>
      <c r="H30" s="3">
        <v>0.46377756000000003</v>
      </c>
      <c r="I30" s="3">
        <v>1.67</v>
      </c>
      <c r="J30" s="3">
        <v>8.0215110000000006E-2</v>
      </c>
      <c r="K30" s="3">
        <v>4.2</v>
      </c>
      <c r="L30" s="3">
        <v>1.595</v>
      </c>
      <c r="M30" s="3">
        <v>3.1963800000000001E-2</v>
      </c>
      <c r="N30" s="3">
        <v>2.605</v>
      </c>
      <c r="O30" s="3">
        <v>3.1676800000000005E-2</v>
      </c>
      <c r="P30" s="3">
        <v>10.928000000000001</v>
      </c>
      <c r="Q30" s="3">
        <v>0.25134399999999996</v>
      </c>
      <c r="R30" s="3">
        <v>12.53</v>
      </c>
      <c r="S30" s="3">
        <v>10</v>
      </c>
      <c r="T30" s="3">
        <v>0.88172530999999998</v>
      </c>
      <c r="U30" s="8"/>
      <c r="W30" s="8"/>
    </row>
    <row r="31" spans="1:37" s="3" customFormat="1" x14ac:dyDescent="0.4">
      <c r="A31" s="6" t="s">
        <v>77</v>
      </c>
      <c r="B31" s="6" t="s">
        <v>48</v>
      </c>
      <c r="C31" s="4"/>
      <c r="D31" s="7" t="s">
        <v>64</v>
      </c>
      <c r="E31" s="3">
        <v>0.35400000000000004</v>
      </c>
      <c r="F31" s="3">
        <v>2.1303719999999998E-2</v>
      </c>
      <c r="G31" s="3">
        <v>25.29</v>
      </c>
      <c r="H31" s="3">
        <v>0.89670753000000014</v>
      </c>
      <c r="I31" s="3">
        <v>3.2475000000000001</v>
      </c>
      <c r="J31" s="3">
        <v>0.1559871675</v>
      </c>
      <c r="K31" s="3">
        <v>8.0824999999999996</v>
      </c>
      <c r="L31" s="3">
        <v>2.1349999999999998</v>
      </c>
      <c r="M31" s="3">
        <v>4.2785400000000001E-2</v>
      </c>
      <c r="N31" s="3">
        <v>5.9474999999999998</v>
      </c>
      <c r="O31" s="3">
        <v>7.2321600000000014E-2</v>
      </c>
      <c r="P31" s="3">
        <v>20.809000000000005</v>
      </c>
      <c r="Q31" s="3">
        <v>0.47860700000000006</v>
      </c>
      <c r="T31" s="3">
        <v>1.6677124175000002</v>
      </c>
      <c r="U31" s="8"/>
      <c r="W31" s="8"/>
      <c r="AI31" s="10"/>
      <c r="AK31" s="10"/>
    </row>
    <row r="32" spans="1:37" x14ac:dyDescent="0.4">
      <c r="A32" s="6" t="s">
        <v>77</v>
      </c>
      <c r="B32" s="6" t="s">
        <v>50</v>
      </c>
      <c r="C32" s="10">
        <v>7</v>
      </c>
      <c r="D32" s="7" t="s">
        <v>37</v>
      </c>
      <c r="E32" s="11">
        <v>0.35</v>
      </c>
      <c r="F32" s="8">
        <f t="shared" ref="F32:F37" si="30">E32*0.06018</f>
        <v>2.1062999999999998E-2</v>
      </c>
      <c r="G32" s="11">
        <v>1.9</v>
      </c>
      <c r="H32" s="8">
        <f t="shared" ref="H32:H37" si="31">G32*0.035457</f>
        <v>6.7368300000000006E-2</v>
      </c>
      <c r="I32" s="8">
        <f t="shared" ref="I32:I37" si="32">(K32+S32)-R32</f>
        <v>1.0499999999999998</v>
      </c>
      <c r="J32" s="8">
        <f t="shared" ref="J32:J37" si="33">I32*0.048033</f>
        <v>5.0434649999999991E-2</v>
      </c>
      <c r="K32" s="11">
        <v>1.5</v>
      </c>
      <c r="L32" s="11">
        <v>0.4</v>
      </c>
      <c r="M32" s="8">
        <f t="shared" ref="M32:M37" si="34">L32*0.02004</f>
        <v>8.0160000000000006E-3</v>
      </c>
      <c r="N32" s="8">
        <f t="shared" ref="N32:N37" si="35">K32-L32</f>
        <v>1.1000000000000001</v>
      </c>
      <c r="O32" s="8">
        <f t="shared" ref="O32:O37" si="36">N32*0.01216</f>
        <v>1.3376000000000002E-2</v>
      </c>
      <c r="P32" s="8">
        <f t="shared" ref="P32:P37" si="37">E32+G32+I32-K32</f>
        <v>1.7999999999999998</v>
      </c>
      <c r="Q32" s="8">
        <f t="shared" ref="Q32:Q37" si="38">P32*0.023</f>
        <v>4.1399999999999992E-2</v>
      </c>
      <c r="R32" s="11">
        <v>5.45</v>
      </c>
      <c r="S32" s="11">
        <v>5</v>
      </c>
      <c r="T32" s="12">
        <f t="shared" ref="T32:T37" si="39">F32+H32+J32+M32+O32+Q32</f>
        <v>0.20165794999999997</v>
      </c>
      <c r="W32" s="8"/>
      <c r="Y32" s="3"/>
      <c r="Z32" s="3"/>
      <c r="AB32" s="3"/>
      <c r="AC32" s="3"/>
      <c r="AD32" s="3"/>
      <c r="AE32" s="3"/>
      <c r="AF32" s="3"/>
      <c r="AH32" s="3"/>
      <c r="AJ32" s="3"/>
    </row>
    <row r="33" spans="1:36" x14ac:dyDescent="0.4">
      <c r="A33" s="6" t="s">
        <v>77</v>
      </c>
      <c r="B33" s="6" t="s">
        <v>50</v>
      </c>
      <c r="C33" s="10">
        <v>11</v>
      </c>
      <c r="D33" s="7" t="s">
        <v>38</v>
      </c>
      <c r="E33" s="11">
        <v>0.4</v>
      </c>
      <c r="F33" s="8">
        <f t="shared" si="30"/>
        <v>2.4072E-2</v>
      </c>
      <c r="G33" s="11">
        <v>4.45</v>
      </c>
      <c r="H33" s="8">
        <f t="shared" si="31"/>
        <v>0.15778365000000003</v>
      </c>
      <c r="I33" s="8">
        <f t="shared" si="32"/>
        <v>0.95000000000000018</v>
      </c>
      <c r="J33" s="8">
        <f t="shared" si="33"/>
        <v>4.5631350000000008E-2</v>
      </c>
      <c r="K33" s="11">
        <v>1.55</v>
      </c>
      <c r="L33" s="11">
        <v>0.4</v>
      </c>
      <c r="M33" s="8">
        <f t="shared" si="34"/>
        <v>8.0160000000000006E-3</v>
      </c>
      <c r="N33" s="8">
        <f t="shared" si="35"/>
        <v>1.1499999999999999</v>
      </c>
      <c r="O33" s="8">
        <f t="shared" si="36"/>
        <v>1.3984E-2</v>
      </c>
      <c r="P33" s="8">
        <f t="shared" si="37"/>
        <v>4.2500000000000009</v>
      </c>
      <c r="Q33" s="8">
        <f t="shared" si="38"/>
        <v>9.7750000000000017E-2</v>
      </c>
      <c r="R33" s="11">
        <v>5.6</v>
      </c>
      <c r="S33" s="11">
        <v>5</v>
      </c>
      <c r="T33" s="12">
        <f t="shared" si="39"/>
        <v>0.34723700000000007</v>
      </c>
      <c r="W33" s="8"/>
      <c r="Y33" s="3"/>
      <c r="Z33" s="3"/>
      <c r="AB33" s="3"/>
      <c r="AC33" s="3"/>
      <c r="AD33" s="3"/>
      <c r="AE33" s="3"/>
      <c r="AF33" s="3"/>
      <c r="AH33" s="3"/>
      <c r="AJ33" s="3"/>
    </row>
    <row r="34" spans="1:36" x14ac:dyDescent="0.4">
      <c r="A34" s="6" t="s">
        <v>77</v>
      </c>
      <c r="B34" s="6" t="s">
        <v>50</v>
      </c>
      <c r="C34" s="10">
        <v>17</v>
      </c>
      <c r="D34" s="7" t="s">
        <v>65</v>
      </c>
      <c r="E34" s="11">
        <v>0.45</v>
      </c>
      <c r="F34" s="8">
        <f t="shared" si="30"/>
        <v>2.7081000000000001E-2</v>
      </c>
      <c r="G34" s="11">
        <v>3.4</v>
      </c>
      <c r="H34" s="8">
        <f t="shared" si="31"/>
        <v>0.1205538</v>
      </c>
      <c r="I34" s="8">
        <f t="shared" si="32"/>
        <v>1.0500000000000007</v>
      </c>
      <c r="J34" s="8">
        <f t="shared" si="33"/>
        <v>5.0434650000000032E-2</v>
      </c>
      <c r="K34" s="11">
        <v>1.1499999999999999</v>
      </c>
      <c r="L34" s="11">
        <v>0.3</v>
      </c>
      <c r="M34" s="8">
        <f t="shared" si="34"/>
        <v>6.0119999999999991E-3</v>
      </c>
      <c r="N34" s="8">
        <f t="shared" si="35"/>
        <v>0.84999999999999987</v>
      </c>
      <c r="O34" s="8">
        <f t="shared" si="36"/>
        <v>1.0336E-2</v>
      </c>
      <c r="P34" s="8">
        <f t="shared" si="37"/>
        <v>3.7500000000000004</v>
      </c>
      <c r="Q34" s="8">
        <f t="shared" si="38"/>
        <v>8.6250000000000007E-2</v>
      </c>
      <c r="R34" s="11">
        <v>5.0999999999999996</v>
      </c>
      <c r="S34" s="11">
        <v>5</v>
      </c>
      <c r="T34" s="12">
        <f t="shared" si="39"/>
        <v>0.30066745000000006</v>
      </c>
      <c r="W34" s="8"/>
      <c r="Y34" s="3"/>
      <c r="Z34" s="3"/>
      <c r="AB34" s="3"/>
      <c r="AC34" s="3"/>
      <c r="AD34" s="3"/>
      <c r="AE34" s="3"/>
      <c r="AF34" s="3"/>
      <c r="AH34" s="3"/>
      <c r="AJ34" s="3"/>
    </row>
    <row r="35" spans="1:36" x14ac:dyDescent="0.4">
      <c r="A35" s="6" t="s">
        <v>77</v>
      </c>
      <c r="B35" s="6" t="s">
        <v>52</v>
      </c>
      <c r="C35" s="10">
        <v>8</v>
      </c>
      <c r="D35" s="7" t="s">
        <v>39</v>
      </c>
      <c r="E35" s="11">
        <v>0.45</v>
      </c>
      <c r="F35" s="8">
        <f t="shared" si="30"/>
        <v>2.7081000000000001E-2</v>
      </c>
      <c r="G35" s="11">
        <v>9.1</v>
      </c>
      <c r="H35" s="8">
        <f t="shared" si="31"/>
        <v>0.32265870000000002</v>
      </c>
      <c r="I35" s="8">
        <f t="shared" si="32"/>
        <v>0.75</v>
      </c>
      <c r="J35" s="8">
        <f t="shared" si="33"/>
        <v>3.6024750000000001E-2</v>
      </c>
      <c r="K35" s="11">
        <v>2.0499999999999998</v>
      </c>
      <c r="L35" s="11">
        <v>0.7</v>
      </c>
      <c r="M35" s="8">
        <f t="shared" si="34"/>
        <v>1.4027999999999999E-2</v>
      </c>
      <c r="N35" s="8">
        <f t="shared" si="35"/>
        <v>1.3499999999999999</v>
      </c>
      <c r="O35" s="8">
        <f t="shared" si="36"/>
        <v>1.6416E-2</v>
      </c>
      <c r="P35" s="8">
        <f t="shared" si="37"/>
        <v>8.25</v>
      </c>
      <c r="Q35" s="8">
        <f t="shared" si="38"/>
        <v>0.18975</v>
      </c>
      <c r="R35" s="11">
        <v>6.3</v>
      </c>
      <c r="S35" s="11">
        <v>5</v>
      </c>
      <c r="T35" s="12">
        <f t="shared" si="39"/>
        <v>0.60595845000000004</v>
      </c>
      <c r="W35" s="8"/>
      <c r="Y35" s="3"/>
      <c r="Z35" s="3"/>
      <c r="AB35" s="3"/>
      <c r="AC35" s="3"/>
      <c r="AD35" s="3"/>
      <c r="AE35" s="3"/>
      <c r="AF35" s="3"/>
      <c r="AH35" s="3"/>
      <c r="AJ35" s="3"/>
    </row>
    <row r="36" spans="1:36" x14ac:dyDescent="0.4">
      <c r="A36" s="6" t="s">
        <v>77</v>
      </c>
      <c r="B36" s="6" t="s">
        <v>52</v>
      </c>
      <c r="C36" s="10">
        <v>12</v>
      </c>
      <c r="D36" s="7" t="s">
        <v>40</v>
      </c>
      <c r="E36" s="11">
        <v>0.4</v>
      </c>
      <c r="F36" s="8">
        <f t="shared" si="30"/>
        <v>2.4072E-2</v>
      </c>
      <c r="G36" s="11">
        <v>2.25</v>
      </c>
      <c r="H36" s="8">
        <f t="shared" si="31"/>
        <v>7.9778250000000009E-2</v>
      </c>
      <c r="I36" s="8">
        <f t="shared" si="32"/>
        <v>0.70000000000000018</v>
      </c>
      <c r="J36" s="8">
        <f t="shared" si="33"/>
        <v>3.362310000000001E-2</v>
      </c>
      <c r="K36" s="11">
        <v>0.8</v>
      </c>
      <c r="L36" s="11">
        <v>0.25</v>
      </c>
      <c r="M36" s="8">
        <f t="shared" si="34"/>
        <v>5.0099999999999997E-3</v>
      </c>
      <c r="N36" s="8">
        <f t="shared" si="35"/>
        <v>0.55000000000000004</v>
      </c>
      <c r="O36" s="8">
        <f t="shared" si="36"/>
        <v>6.6880000000000012E-3</v>
      </c>
      <c r="P36" s="8">
        <f t="shared" si="37"/>
        <v>2.5499999999999998</v>
      </c>
      <c r="Q36" s="8">
        <f t="shared" si="38"/>
        <v>5.8649999999999994E-2</v>
      </c>
      <c r="R36" s="11">
        <v>5.0999999999999996</v>
      </c>
      <c r="S36" s="11">
        <v>5</v>
      </c>
      <c r="T36" s="12">
        <f t="shared" si="39"/>
        <v>0.20782135000000002</v>
      </c>
      <c r="W36" s="8"/>
      <c r="Y36" s="3"/>
      <c r="Z36" s="3"/>
      <c r="AB36" s="3"/>
      <c r="AC36" s="3"/>
      <c r="AD36" s="3"/>
      <c r="AE36" s="3"/>
      <c r="AF36" s="3"/>
      <c r="AH36" s="3"/>
      <c r="AJ36" s="3"/>
    </row>
    <row r="37" spans="1:36" x14ac:dyDescent="0.4">
      <c r="A37" s="6" t="s">
        <v>77</v>
      </c>
      <c r="B37" s="6" t="s">
        <v>52</v>
      </c>
      <c r="C37" s="10">
        <v>18</v>
      </c>
      <c r="D37" s="7" t="s">
        <v>66</v>
      </c>
      <c r="E37" s="11">
        <v>0.45</v>
      </c>
      <c r="F37" s="8">
        <f t="shared" si="30"/>
        <v>2.7081000000000001E-2</v>
      </c>
      <c r="G37" s="11">
        <v>2.8</v>
      </c>
      <c r="H37" s="8">
        <f t="shared" si="31"/>
        <v>9.9279599999999996E-2</v>
      </c>
      <c r="I37" s="8">
        <f t="shared" si="32"/>
        <v>0.54999999999999982</v>
      </c>
      <c r="J37" s="8">
        <f t="shared" si="33"/>
        <v>2.6418149999999991E-2</v>
      </c>
      <c r="K37" s="11">
        <v>0.85</v>
      </c>
      <c r="L37" s="11">
        <v>0.25</v>
      </c>
      <c r="M37" s="8">
        <f t="shared" si="34"/>
        <v>5.0099999999999997E-3</v>
      </c>
      <c r="N37" s="8">
        <f t="shared" si="35"/>
        <v>0.6</v>
      </c>
      <c r="O37" s="8">
        <f t="shared" si="36"/>
        <v>7.2960000000000004E-3</v>
      </c>
      <c r="P37" s="8">
        <f t="shared" si="37"/>
        <v>2.9499999999999997</v>
      </c>
      <c r="Q37" s="8">
        <f t="shared" si="38"/>
        <v>6.7849999999999994E-2</v>
      </c>
      <c r="R37" s="11">
        <v>5.3</v>
      </c>
      <c r="S37" s="11">
        <v>5</v>
      </c>
      <c r="T37" s="12">
        <f t="shared" si="39"/>
        <v>0.23293474999999997</v>
      </c>
      <c r="W37" s="8"/>
      <c r="Y37" s="3"/>
      <c r="Z37" s="3"/>
      <c r="AB37" s="3"/>
      <c r="AC37" s="3"/>
      <c r="AD37" s="3"/>
      <c r="AE37" s="3"/>
      <c r="AF37" s="3"/>
      <c r="AH37" s="3"/>
      <c r="AJ37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6B46-A491-436F-AA49-5CFEDC6721B3}">
  <dimension ref="A1:Z66"/>
  <sheetViews>
    <sheetView zoomScale="89" zoomScaleNormal="89" workbookViewId="0">
      <selection activeCell="G10" sqref="G10"/>
    </sheetView>
  </sheetViews>
  <sheetFormatPr defaultRowHeight="14.25" x14ac:dyDescent="0.4"/>
  <cols>
    <col min="1" max="1" width="8.9296875" style="10" customWidth="1"/>
    <col min="2" max="16" width="9.06640625" style="10"/>
    <col min="17" max="17" width="12.265625" style="10" bestFit="1" customWidth="1"/>
    <col min="18" max="20" width="9.06640625" style="10"/>
    <col min="21" max="21" width="9.06640625" style="28"/>
    <col min="22" max="22" width="15.46484375" style="10" customWidth="1"/>
    <col min="23" max="253" width="9.06640625" style="10"/>
    <col min="254" max="254" width="8.9296875" style="10" customWidth="1"/>
    <col min="255" max="272" width="9.06640625" style="10"/>
    <col min="273" max="273" width="12.265625" style="10" bestFit="1" customWidth="1"/>
    <col min="274" max="277" width="9.06640625" style="10"/>
    <col min="278" max="278" width="15.46484375" style="10" customWidth="1"/>
    <col min="279" max="509" width="9.06640625" style="10"/>
    <col min="510" max="510" width="8.9296875" style="10" customWidth="1"/>
    <col min="511" max="528" width="9.06640625" style="10"/>
    <col min="529" max="529" width="12.265625" style="10" bestFit="1" customWidth="1"/>
    <col min="530" max="533" width="9.06640625" style="10"/>
    <col min="534" max="534" width="15.46484375" style="10" customWidth="1"/>
    <col min="535" max="765" width="9.06640625" style="10"/>
    <col min="766" max="766" width="8.9296875" style="10" customWidth="1"/>
    <col min="767" max="784" width="9.06640625" style="10"/>
    <col min="785" max="785" width="12.265625" style="10" bestFit="1" customWidth="1"/>
    <col min="786" max="789" width="9.06640625" style="10"/>
    <col min="790" max="790" width="15.46484375" style="10" customWidth="1"/>
    <col min="791" max="1021" width="9.06640625" style="10"/>
    <col min="1022" max="1022" width="8.9296875" style="10" customWidth="1"/>
    <col min="1023" max="1040" width="9.06640625" style="10"/>
    <col min="1041" max="1041" width="12.265625" style="10" bestFit="1" customWidth="1"/>
    <col min="1042" max="1045" width="9.06640625" style="10"/>
    <col min="1046" max="1046" width="15.46484375" style="10" customWidth="1"/>
    <col min="1047" max="1277" width="9.06640625" style="10"/>
    <col min="1278" max="1278" width="8.9296875" style="10" customWidth="1"/>
    <col min="1279" max="1296" width="9.06640625" style="10"/>
    <col min="1297" max="1297" width="12.265625" style="10" bestFit="1" customWidth="1"/>
    <col min="1298" max="1301" width="9.06640625" style="10"/>
    <col min="1302" max="1302" width="15.46484375" style="10" customWidth="1"/>
    <col min="1303" max="1533" width="9.06640625" style="10"/>
    <col min="1534" max="1534" width="8.9296875" style="10" customWidth="1"/>
    <col min="1535" max="1552" width="9.06640625" style="10"/>
    <col min="1553" max="1553" width="12.265625" style="10" bestFit="1" customWidth="1"/>
    <col min="1554" max="1557" width="9.06640625" style="10"/>
    <col min="1558" max="1558" width="15.46484375" style="10" customWidth="1"/>
    <col min="1559" max="1789" width="9.06640625" style="10"/>
    <col min="1790" max="1790" width="8.9296875" style="10" customWidth="1"/>
    <col min="1791" max="1808" width="9.06640625" style="10"/>
    <col min="1809" max="1809" width="12.265625" style="10" bestFit="1" customWidth="1"/>
    <col min="1810" max="1813" width="9.06640625" style="10"/>
    <col min="1814" max="1814" width="15.46484375" style="10" customWidth="1"/>
    <col min="1815" max="2045" width="9.06640625" style="10"/>
    <col min="2046" max="2046" width="8.9296875" style="10" customWidth="1"/>
    <col min="2047" max="2064" width="9.06640625" style="10"/>
    <col min="2065" max="2065" width="12.265625" style="10" bestFit="1" customWidth="1"/>
    <col min="2066" max="2069" width="9.06640625" style="10"/>
    <col min="2070" max="2070" width="15.46484375" style="10" customWidth="1"/>
    <col min="2071" max="2301" width="9.06640625" style="10"/>
    <col min="2302" max="2302" width="8.9296875" style="10" customWidth="1"/>
    <col min="2303" max="2320" width="9.06640625" style="10"/>
    <col min="2321" max="2321" width="12.265625" style="10" bestFit="1" customWidth="1"/>
    <col min="2322" max="2325" width="9.06640625" style="10"/>
    <col min="2326" max="2326" width="15.46484375" style="10" customWidth="1"/>
    <col min="2327" max="2557" width="9.06640625" style="10"/>
    <col min="2558" max="2558" width="8.9296875" style="10" customWidth="1"/>
    <col min="2559" max="2576" width="9.06640625" style="10"/>
    <col min="2577" max="2577" width="12.265625" style="10" bestFit="1" customWidth="1"/>
    <col min="2578" max="2581" width="9.06640625" style="10"/>
    <col min="2582" max="2582" width="15.46484375" style="10" customWidth="1"/>
    <col min="2583" max="2813" width="9.06640625" style="10"/>
    <col min="2814" max="2814" width="8.9296875" style="10" customWidth="1"/>
    <col min="2815" max="2832" width="9.06640625" style="10"/>
    <col min="2833" max="2833" width="12.265625" style="10" bestFit="1" customWidth="1"/>
    <col min="2834" max="2837" width="9.06640625" style="10"/>
    <col min="2838" max="2838" width="15.46484375" style="10" customWidth="1"/>
    <col min="2839" max="3069" width="9.06640625" style="10"/>
    <col min="3070" max="3070" width="8.9296875" style="10" customWidth="1"/>
    <col min="3071" max="3088" width="9.06640625" style="10"/>
    <col min="3089" max="3089" width="12.265625" style="10" bestFit="1" customWidth="1"/>
    <col min="3090" max="3093" width="9.06640625" style="10"/>
    <col min="3094" max="3094" width="15.46484375" style="10" customWidth="1"/>
    <col min="3095" max="3325" width="9.06640625" style="10"/>
    <col min="3326" max="3326" width="8.9296875" style="10" customWidth="1"/>
    <col min="3327" max="3344" width="9.06640625" style="10"/>
    <col min="3345" max="3345" width="12.265625" style="10" bestFit="1" customWidth="1"/>
    <col min="3346" max="3349" width="9.06640625" style="10"/>
    <col min="3350" max="3350" width="15.46484375" style="10" customWidth="1"/>
    <col min="3351" max="3581" width="9.06640625" style="10"/>
    <col min="3582" max="3582" width="8.9296875" style="10" customWidth="1"/>
    <col min="3583" max="3600" width="9.06640625" style="10"/>
    <col min="3601" max="3601" width="12.265625" style="10" bestFit="1" customWidth="1"/>
    <col min="3602" max="3605" width="9.06640625" style="10"/>
    <col min="3606" max="3606" width="15.46484375" style="10" customWidth="1"/>
    <col min="3607" max="3837" width="9.06640625" style="10"/>
    <col min="3838" max="3838" width="8.9296875" style="10" customWidth="1"/>
    <col min="3839" max="3856" width="9.06640625" style="10"/>
    <col min="3857" max="3857" width="12.265625" style="10" bestFit="1" customWidth="1"/>
    <col min="3858" max="3861" width="9.06640625" style="10"/>
    <col min="3862" max="3862" width="15.46484375" style="10" customWidth="1"/>
    <col min="3863" max="4093" width="9.06640625" style="10"/>
    <col min="4094" max="4094" width="8.9296875" style="10" customWidth="1"/>
    <col min="4095" max="4112" width="9.06640625" style="10"/>
    <col min="4113" max="4113" width="12.265625" style="10" bestFit="1" customWidth="1"/>
    <col min="4114" max="4117" width="9.06640625" style="10"/>
    <col min="4118" max="4118" width="15.46484375" style="10" customWidth="1"/>
    <col min="4119" max="4349" width="9.06640625" style="10"/>
    <col min="4350" max="4350" width="8.9296875" style="10" customWidth="1"/>
    <col min="4351" max="4368" width="9.06640625" style="10"/>
    <col min="4369" max="4369" width="12.265625" style="10" bestFit="1" customWidth="1"/>
    <col min="4370" max="4373" width="9.06640625" style="10"/>
    <col min="4374" max="4374" width="15.46484375" style="10" customWidth="1"/>
    <col min="4375" max="4605" width="9.06640625" style="10"/>
    <col min="4606" max="4606" width="8.9296875" style="10" customWidth="1"/>
    <col min="4607" max="4624" width="9.06640625" style="10"/>
    <col min="4625" max="4625" width="12.265625" style="10" bestFit="1" customWidth="1"/>
    <col min="4626" max="4629" width="9.06640625" style="10"/>
    <col min="4630" max="4630" width="15.46484375" style="10" customWidth="1"/>
    <col min="4631" max="4861" width="9.06640625" style="10"/>
    <col min="4862" max="4862" width="8.9296875" style="10" customWidth="1"/>
    <col min="4863" max="4880" width="9.06640625" style="10"/>
    <col min="4881" max="4881" width="12.265625" style="10" bestFit="1" customWidth="1"/>
    <col min="4882" max="4885" width="9.06640625" style="10"/>
    <col min="4886" max="4886" width="15.46484375" style="10" customWidth="1"/>
    <col min="4887" max="5117" width="9.06640625" style="10"/>
    <col min="5118" max="5118" width="8.9296875" style="10" customWidth="1"/>
    <col min="5119" max="5136" width="9.06640625" style="10"/>
    <col min="5137" max="5137" width="12.265625" style="10" bestFit="1" customWidth="1"/>
    <col min="5138" max="5141" width="9.06640625" style="10"/>
    <col min="5142" max="5142" width="15.46484375" style="10" customWidth="1"/>
    <col min="5143" max="5373" width="9.06640625" style="10"/>
    <col min="5374" max="5374" width="8.9296875" style="10" customWidth="1"/>
    <col min="5375" max="5392" width="9.06640625" style="10"/>
    <col min="5393" max="5393" width="12.265625" style="10" bestFit="1" customWidth="1"/>
    <col min="5394" max="5397" width="9.06640625" style="10"/>
    <col min="5398" max="5398" width="15.46484375" style="10" customWidth="1"/>
    <col min="5399" max="5629" width="9.06640625" style="10"/>
    <col min="5630" max="5630" width="8.9296875" style="10" customWidth="1"/>
    <col min="5631" max="5648" width="9.06640625" style="10"/>
    <col min="5649" max="5649" width="12.265625" style="10" bestFit="1" customWidth="1"/>
    <col min="5650" max="5653" width="9.06640625" style="10"/>
    <col min="5654" max="5654" width="15.46484375" style="10" customWidth="1"/>
    <col min="5655" max="5885" width="9.06640625" style="10"/>
    <col min="5886" max="5886" width="8.9296875" style="10" customWidth="1"/>
    <col min="5887" max="5904" width="9.06640625" style="10"/>
    <col min="5905" max="5905" width="12.265625" style="10" bestFit="1" customWidth="1"/>
    <col min="5906" max="5909" width="9.06640625" style="10"/>
    <col min="5910" max="5910" width="15.46484375" style="10" customWidth="1"/>
    <col min="5911" max="6141" width="9.06640625" style="10"/>
    <col min="6142" max="6142" width="8.9296875" style="10" customWidth="1"/>
    <col min="6143" max="6160" width="9.06640625" style="10"/>
    <col min="6161" max="6161" width="12.265625" style="10" bestFit="1" customWidth="1"/>
    <col min="6162" max="6165" width="9.06640625" style="10"/>
    <col min="6166" max="6166" width="15.46484375" style="10" customWidth="1"/>
    <col min="6167" max="6397" width="9.06640625" style="10"/>
    <col min="6398" max="6398" width="8.9296875" style="10" customWidth="1"/>
    <col min="6399" max="6416" width="9.06640625" style="10"/>
    <col min="6417" max="6417" width="12.265625" style="10" bestFit="1" customWidth="1"/>
    <col min="6418" max="6421" width="9.06640625" style="10"/>
    <col min="6422" max="6422" width="15.46484375" style="10" customWidth="1"/>
    <col min="6423" max="6653" width="9.06640625" style="10"/>
    <col min="6654" max="6654" width="8.9296875" style="10" customWidth="1"/>
    <col min="6655" max="6672" width="9.06640625" style="10"/>
    <col min="6673" max="6673" width="12.265625" style="10" bestFit="1" customWidth="1"/>
    <col min="6674" max="6677" width="9.06640625" style="10"/>
    <col min="6678" max="6678" width="15.46484375" style="10" customWidth="1"/>
    <col min="6679" max="6909" width="9.06640625" style="10"/>
    <col min="6910" max="6910" width="8.9296875" style="10" customWidth="1"/>
    <col min="6911" max="6928" width="9.06640625" style="10"/>
    <col min="6929" max="6929" width="12.265625" style="10" bestFit="1" customWidth="1"/>
    <col min="6930" max="6933" width="9.06640625" style="10"/>
    <col min="6934" max="6934" width="15.46484375" style="10" customWidth="1"/>
    <col min="6935" max="7165" width="9.06640625" style="10"/>
    <col min="7166" max="7166" width="8.9296875" style="10" customWidth="1"/>
    <col min="7167" max="7184" width="9.06640625" style="10"/>
    <col min="7185" max="7185" width="12.265625" style="10" bestFit="1" customWidth="1"/>
    <col min="7186" max="7189" width="9.06640625" style="10"/>
    <col min="7190" max="7190" width="15.46484375" style="10" customWidth="1"/>
    <col min="7191" max="7421" width="9.06640625" style="10"/>
    <col min="7422" max="7422" width="8.9296875" style="10" customWidth="1"/>
    <col min="7423" max="7440" width="9.06640625" style="10"/>
    <col min="7441" max="7441" width="12.265625" style="10" bestFit="1" customWidth="1"/>
    <col min="7442" max="7445" width="9.06640625" style="10"/>
    <col min="7446" max="7446" width="15.46484375" style="10" customWidth="1"/>
    <col min="7447" max="7677" width="9.06640625" style="10"/>
    <col min="7678" max="7678" width="8.9296875" style="10" customWidth="1"/>
    <col min="7679" max="7696" width="9.06640625" style="10"/>
    <col min="7697" max="7697" width="12.265625" style="10" bestFit="1" customWidth="1"/>
    <col min="7698" max="7701" width="9.06640625" style="10"/>
    <col min="7702" max="7702" width="15.46484375" style="10" customWidth="1"/>
    <col min="7703" max="7933" width="9.06640625" style="10"/>
    <col min="7934" max="7934" width="8.9296875" style="10" customWidth="1"/>
    <col min="7935" max="7952" width="9.06640625" style="10"/>
    <col min="7953" max="7953" width="12.265625" style="10" bestFit="1" customWidth="1"/>
    <col min="7954" max="7957" width="9.06640625" style="10"/>
    <col min="7958" max="7958" width="15.46484375" style="10" customWidth="1"/>
    <col min="7959" max="8189" width="9.06640625" style="10"/>
    <col min="8190" max="8190" width="8.9296875" style="10" customWidth="1"/>
    <col min="8191" max="8208" width="9.06640625" style="10"/>
    <col min="8209" max="8209" width="12.265625" style="10" bestFit="1" customWidth="1"/>
    <col min="8210" max="8213" width="9.06640625" style="10"/>
    <col min="8214" max="8214" width="15.46484375" style="10" customWidth="1"/>
    <col min="8215" max="8445" width="9.06640625" style="10"/>
    <col min="8446" max="8446" width="8.9296875" style="10" customWidth="1"/>
    <col min="8447" max="8464" width="9.06640625" style="10"/>
    <col min="8465" max="8465" width="12.265625" style="10" bestFit="1" customWidth="1"/>
    <col min="8466" max="8469" width="9.06640625" style="10"/>
    <col min="8470" max="8470" width="15.46484375" style="10" customWidth="1"/>
    <col min="8471" max="8701" width="9.06640625" style="10"/>
    <col min="8702" max="8702" width="8.9296875" style="10" customWidth="1"/>
    <col min="8703" max="8720" width="9.06640625" style="10"/>
    <col min="8721" max="8721" width="12.265625" style="10" bestFit="1" customWidth="1"/>
    <col min="8722" max="8725" width="9.06640625" style="10"/>
    <col min="8726" max="8726" width="15.46484375" style="10" customWidth="1"/>
    <col min="8727" max="8957" width="9.06640625" style="10"/>
    <col min="8958" max="8958" width="8.9296875" style="10" customWidth="1"/>
    <col min="8959" max="8976" width="9.06640625" style="10"/>
    <col min="8977" max="8977" width="12.265625" style="10" bestFit="1" customWidth="1"/>
    <col min="8978" max="8981" width="9.06640625" style="10"/>
    <col min="8982" max="8982" width="15.46484375" style="10" customWidth="1"/>
    <col min="8983" max="9213" width="9.06640625" style="10"/>
    <col min="9214" max="9214" width="8.9296875" style="10" customWidth="1"/>
    <col min="9215" max="9232" width="9.06640625" style="10"/>
    <col min="9233" max="9233" width="12.265625" style="10" bestFit="1" customWidth="1"/>
    <col min="9234" max="9237" width="9.06640625" style="10"/>
    <col min="9238" max="9238" width="15.46484375" style="10" customWidth="1"/>
    <col min="9239" max="9469" width="9.06640625" style="10"/>
    <col min="9470" max="9470" width="8.9296875" style="10" customWidth="1"/>
    <col min="9471" max="9488" width="9.06640625" style="10"/>
    <col min="9489" max="9489" width="12.265625" style="10" bestFit="1" customWidth="1"/>
    <col min="9490" max="9493" width="9.06640625" style="10"/>
    <col min="9494" max="9494" width="15.46484375" style="10" customWidth="1"/>
    <col min="9495" max="9725" width="9.06640625" style="10"/>
    <col min="9726" max="9726" width="8.9296875" style="10" customWidth="1"/>
    <col min="9727" max="9744" width="9.06640625" style="10"/>
    <col min="9745" max="9745" width="12.265625" style="10" bestFit="1" customWidth="1"/>
    <col min="9746" max="9749" width="9.06640625" style="10"/>
    <col min="9750" max="9750" width="15.46484375" style="10" customWidth="1"/>
    <col min="9751" max="9981" width="9.06640625" style="10"/>
    <col min="9982" max="9982" width="8.9296875" style="10" customWidth="1"/>
    <col min="9983" max="10000" width="9.06640625" style="10"/>
    <col min="10001" max="10001" width="12.265625" style="10" bestFit="1" customWidth="1"/>
    <col min="10002" max="10005" width="9.06640625" style="10"/>
    <col min="10006" max="10006" width="15.46484375" style="10" customWidth="1"/>
    <col min="10007" max="10237" width="9.06640625" style="10"/>
    <col min="10238" max="10238" width="8.9296875" style="10" customWidth="1"/>
    <col min="10239" max="10256" width="9.06640625" style="10"/>
    <col min="10257" max="10257" width="12.265625" style="10" bestFit="1" customWidth="1"/>
    <col min="10258" max="10261" width="9.06640625" style="10"/>
    <col min="10262" max="10262" width="15.46484375" style="10" customWidth="1"/>
    <col min="10263" max="10493" width="9.06640625" style="10"/>
    <col min="10494" max="10494" width="8.9296875" style="10" customWidth="1"/>
    <col min="10495" max="10512" width="9.06640625" style="10"/>
    <col min="10513" max="10513" width="12.265625" style="10" bestFit="1" customWidth="1"/>
    <col min="10514" max="10517" width="9.06640625" style="10"/>
    <col min="10518" max="10518" width="15.46484375" style="10" customWidth="1"/>
    <col min="10519" max="10749" width="9.06640625" style="10"/>
    <col min="10750" max="10750" width="8.9296875" style="10" customWidth="1"/>
    <col min="10751" max="10768" width="9.06640625" style="10"/>
    <col min="10769" max="10769" width="12.265625" style="10" bestFit="1" customWidth="1"/>
    <col min="10770" max="10773" width="9.06640625" style="10"/>
    <col min="10774" max="10774" width="15.46484375" style="10" customWidth="1"/>
    <col min="10775" max="11005" width="9.06640625" style="10"/>
    <col min="11006" max="11006" width="8.9296875" style="10" customWidth="1"/>
    <col min="11007" max="11024" width="9.06640625" style="10"/>
    <col min="11025" max="11025" width="12.265625" style="10" bestFit="1" customWidth="1"/>
    <col min="11026" max="11029" width="9.06640625" style="10"/>
    <col min="11030" max="11030" width="15.46484375" style="10" customWidth="1"/>
    <col min="11031" max="11261" width="9.06640625" style="10"/>
    <col min="11262" max="11262" width="8.9296875" style="10" customWidth="1"/>
    <col min="11263" max="11280" width="9.06640625" style="10"/>
    <col min="11281" max="11281" width="12.265625" style="10" bestFit="1" customWidth="1"/>
    <col min="11282" max="11285" width="9.06640625" style="10"/>
    <col min="11286" max="11286" width="15.46484375" style="10" customWidth="1"/>
    <col min="11287" max="11517" width="9.06640625" style="10"/>
    <col min="11518" max="11518" width="8.9296875" style="10" customWidth="1"/>
    <col min="11519" max="11536" width="9.06640625" style="10"/>
    <col min="11537" max="11537" width="12.265625" style="10" bestFit="1" customWidth="1"/>
    <col min="11538" max="11541" width="9.06640625" style="10"/>
    <col min="11542" max="11542" width="15.46484375" style="10" customWidth="1"/>
    <col min="11543" max="11773" width="9.06640625" style="10"/>
    <col min="11774" max="11774" width="8.9296875" style="10" customWidth="1"/>
    <col min="11775" max="11792" width="9.06640625" style="10"/>
    <col min="11793" max="11793" width="12.265625" style="10" bestFit="1" customWidth="1"/>
    <col min="11794" max="11797" width="9.06640625" style="10"/>
    <col min="11798" max="11798" width="15.46484375" style="10" customWidth="1"/>
    <col min="11799" max="12029" width="9.06640625" style="10"/>
    <col min="12030" max="12030" width="8.9296875" style="10" customWidth="1"/>
    <col min="12031" max="12048" width="9.06640625" style="10"/>
    <col min="12049" max="12049" width="12.265625" style="10" bestFit="1" customWidth="1"/>
    <col min="12050" max="12053" width="9.06640625" style="10"/>
    <col min="12054" max="12054" width="15.46484375" style="10" customWidth="1"/>
    <col min="12055" max="12285" width="9.06640625" style="10"/>
    <col min="12286" max="12286" width="8.9296875" style="10" customWidth="1"/>
    <col min="12287" max="12304" width="9.06640625" style="10"/>
    <col min="12305" max="12305" width="12.265625" style="10" bestFit="1" customWidth="1"/>
    <col min="12306" max="12309" width="9.06640625" style="10"/>
    <col min="12310" max="12310" width="15.46484375" style="10" customWidth="1"/>
    <col min="12311" max="12541" width="9.06640625" style="10"/>
    <col min="12542" max="12542" width="8.9296875" style="10" customWidth="1"/>
    <col min="12543" max="12560" width="9.06640625" style="10"/>
    <col min="12561" max="12561" width="12.265625" style="10" bestFit="1" customWidth="1"/>
    <col min="12562" max="12565" width="9.06640625" style="10"/>
    <col min="12566" max="12566" width="15.46484375" style="10" customWidth="1"/>
    <col min="12567" max="12797" width="9.06640625" style="10"/>
    <col min="12798" max="12798" width="8.9296875" style="10" customWidth="1"/>
    <col min="12799" max="12816" width="9.06640625" style="10"/>
    <col min="12817" max="12817" width="12.265625" style="10" bestFit="1" customWidth="1"/>
    <col min="12818" max="12821" width="9.06640625" style="10"/>
    <col min="12822" max="12822" width="15.46484375" style="10" customWidth="1"/>
    <col min="12823" max="13053" width="9.06640625" style="10"/>
    <col min="13054" max="13054" width="8.9296875" style="10" customWidth="1"/>
    <col min="13055" max="13072" width="9.06640625" style="10"/>
    <col min="13073" max="13073" width="12.265625" style="10" bestFit="1" customWidth="1"/>
    <col min="13074" max="13077" width="9.06640625" style="10"/>
    <col min="13078" max="13078" width="15.46484375" style="10" customWidth="1"/>
    <col min="13079" max="13309" width="9.06640625" style="10"/>
    <col min="13310" max="13310" width="8.9296875" style="10" customWidth="1"/>
    <col min="13311" max="13328" width="9.06640625" style="10"/>
    <col min="13329" max="13329" width="12.265625" style="10" bestFit="1" customWidth="1"/>
    <col min="13330" max="13333" width="9.06640625" style="10"/>
    <col min="13334" max="13334" width="15.46484375" style="10" customWidth="1"/>
    <col min="13335" max="13565" width="9.06640625" style="10"/>
    <col min="13566" max="13566" width="8.9296875" style="10" customWidth="1"/>
    <col min="13567" max="13584" width="9.06640625" style="10"/>
    <col min="13585" max="13585" width="12.265625" style="10" bestFit="1" customWidth="1"/>
    <col min="13586" max="13589" width="9.06640625" style="10"/>
    <col min="13590" max="13590" width="15.46484375" style="10" customWidth="1"/>
    <col min="13591" max="13821" width="9.06640625" style="10"/>
    <col min="13822" max="13822" width="8.9296875" style="10" customWidth="1"/>
    <col min="13823" max="13840" width="9.06640625" style="10"/>
    <col min="13841" max="13841" width="12.265625" style="10" bestFit="1" customWidth="1"/>
    <col min="13842" max="13845" width="9.06640625" style="10"/>
    <col min="13846" max="13846" width="15.46484375" style="10" customWidth="1"/>
    <col min="13847" max="14077" width="9.06640625" style="10"/>
    <col min="14078" max="14078" width="8.9296875" style="10" customWidth="1"/>
    <col min="14079" max="14096" width="9.06640625" style="10"/>
    <col min="14097" max="14097" width="12.265625" style="10" bestFit="1" customWidth="1"/>
    <col min="14098" max="14101" width="9.06640625" style="10"/>
    <col min="14102" max="14102" width="15.46484375" style="10" customWidth="1"/>
    <col min="14103" max="14333" width="9.06640625" style="10"/>
    <col min="14334" max="14334" width="8.9296875" style="10" customWidth="1"/>
    <col min="14335" max="14352" width="9.06640625" style="10"/>
    <col min="14353" max="14353" width="12.265625" style="10" bestFit="1" customWidth="1"/>
    <col min="14354" max="14357" width="9.06640625" style="10"/>
    <col min="14358" max="14358" width="15.46484375" style="10" customWidth="1"/>
    <col min="14359" max="14589" width="9.06640625" style="10"/>
    <col min="14590" max="14590" width="8.9296875" style="10" customWidth="1"/>
    <col min="14591" max="14608" width="9.06640625" style="10"/>
    <col min="14609" max="14609" width="12.265625" style="10" bestFit="1" customWidth="1"/>
    <col min="14610" max="14613" width="9.06640625" style="10"/>
    <col min="14614" max="14614" width="15.46484375" style="10" customWidth="1"/>
    <col min="14615" max="14845" width="9.06640625" style="10"/>
    <col min="14846" max="14846" width="8.9296875" style="10" customWidth="1"/>
    <col min="14847" max="14864" width="9.06640625" style="10"/>
    <col min="14865" max="14865" width="12.265625" style="10" bestFit="1" customWidth="1"/>
    <col min="14866" max="14869" width="9.06640625" style="10"/>
    <col min="14870" max="14870" width="15.46484375" style="10" customWidth="1"/>
    <col min="14871" max="15101" width="9.06640625" style="10"/>
    <col min="15102" max="15102" width="8.9296875" style="10" customWidth="1"/>
    <col min="15103" max="15120" width="9.06640625" style="10"/>
    <col min="15121" max="15121" width="12.265625" style="10" bestFit="1" customWidth="1"/>
    <col min="15122" max="15125" width="9.06640625" style="10"/>
    <col min="15126" max="15126" width="15.46484375" style="10" customWidth="1"/>
    <col min="15127" max="15357" width="9.06640625" style="10"/>
    <col min="15358" max="15358" width="8.9296875" style="10" customWidth="1"/>
    <col min="15359" max="15376" width="9.06640625" style="10"/>
    <col min="15377" max="15377" width="12.265625" style="10" bestFit="1" customWidth="1"/>
    <col min="15378" max="15381" width="9.06640625" style="10"/>
    <col min="15382" max="15382" width="15.46484375" style="10" customWidth="1"/>
    <col min="15383" max="15613" width="9.06640625" style="10"/>
    <col min="15614" max="15614" width="8.9296875" style="10" customWidth="1"/>
    <col min="15615" max="15632" width="9.06640625" style="10"/>
    <col min="15633" max="15633" width="12.265625" style="10" bestFit="1" customWidth="1"/>
    <col min="15634" max="15637" width="9.06640625" style="10"/>
    <col min="15638" max="15638" width="15.46484375" style="10" customWidth="1"/>
    <col min="15639" max="15869" width="9.06640625" style="10"/>
    <col min="15870" max="15870" width="8.9296875" style="10" customWidth="1"/>
    <col min="15871" max="15888" width="9.06640625" style="10"/>
    <col min="15889" max="15889" width="12.265625" style="10" bestFit="1" customWidth="1"/>
    <col min="15890" max="15893" width="9.06640625" style="10"/>
    <col min="15894" max="15894" width="15.46484375" style="10" customWidth="1"/>
    <col min="15895" max="16125" width="9.06640625" style="10"/>
    <col min="16126" max="16126" width="8.9296875" style="10" customWidth="1"/>
    <col min="16127" max="16144" width="9.06640625" style="10"/>
    <col min="16145" max="16145" width="12.265625" style="10" bestFit="1" customWidth="1"/>
    <col min="16146" max="16149" width="9.06640625" style="10"/>
    <col min="16150" max="16150" width="15.46484375" style="10" customWidth="1"/>
    <col min="16151" max="16384" width="9.06640625" style="10"/>
  </cols>
  <sheetData>
    <row r="1" spans="1:26" ht="15.75" x14ac:dyDescent="0.4">
      <c r="Q1" s="19" t="s">
        <v>137</v>
      </c>
      <c r="W1" s="19" t="s">
        <v>123</v>
      </c>
    </row>
    <row r="2" spans="1:26" s="3" customFormat="1" ht="18" x14ac:dyDescent="0.4">
      <c r="A2" s="3" t="s">
        <v>124</v>
      </c>
      <c r="B2" s="3" t="s">
        <v>125</v>
      </c>
      <c r="C2" s="4" t="s">
        <v>126</v>
      </c>
      <c r="D2" s="5" t="s">
        <v>79</v>
      </c>
      <c r="E2" s="5" t="s">
        <v>80</v>
      </c>
      <c r="F2" s="5" t="s">
        <v>81</v>
      </c>
      <c r="G2" s="5" t="s">
        <v>80</v>
      </c>
      <c r="H2" s="5" t="s">
        <v>127</v>
      </c>
      <c r="I2" s="5" t="s">
        <v>80</v>
      </c>
      <c r="J2" s="5" t="s">
        <v>128</v>
      </c>
      <c r="K2" s="5" t="s">
        <v>82</v>
      </c>
      <c r="L2" s="5" t="s">
        <v>80</v>
      </c>
      <c r="M2" s="5" t="s">
        <v>83</v>
      </c>
      <c r="N2" s="5" t="s">
        <v>80</v>
      </c>
      <c r="O2" s="5" t="s">
        <v>84</v>
      </c>
      <c r="P2" s="5" t="s">
        <v>80</v>
      </c>
      <c r="Q2" s="4" t="s">
        <v>85</v>
      </c>
      <c r="R2" s="23" t="s">
        <v>86</v>
      </c>
      <c r="S2" s="5" t="s">
        <v>87</v>
      </c>
      <c r="T2" s="5" t="s">
        <v>129</v>
      </c>
      <c r="U2" s="22" t="s">
        <v>130</v>
      </c>
      <c r="V2" s="8"/>
      <c r="W2" s="4" t="s">
        <v>131</v>
      </c>
      <c r="X2" s="23" t="s">
        <v>132</v>
      </c>
    </row>
    <row r="3" spans="1:26" s="3" customFormat="1" ht="15.75" x14ac:dyDescent="0.4">
      <c r="A3" s="4" t="s">
        <v>88</v>
      </c>
      <c r="B3" s="6" t="s">
        <v>133</v>
      </c>
      <c r="C3" s="4" t="s">
        <v>89</v>
      </c>
      <c r="D3" s="8">
        <v>0.35</v>
      </c>
      <c r="E3" s="8">
        <f>D3*0.06018</f>
        <v>2.1062999999999998E-2</v>
      </c>
      <c r="F3" s="8">
        <v>5.4</v>
      </c>
      <c r="G3" s="8">
        <f>F3*0.035457</f>
        <v>0.19146780000000002</v>
      </c>
      <c r="H3" s="8">
        <f>(J3+T3)-S3</f>
        <v>1.0499999999999998</v>
      </c>
      <c r="I3" s="8">
        <f>H3*0.048033</f>
        <v>5.0434649999999991E-2</v>
      </c>
      <c r="J3" s="8">
        <v>2.1</v>
      </c>
      <c r="K3" s="8">
        <v>1.05</v>
      </c>
      <c r="L3" s="8">
        <f>K3*0.02004</f>
        <v>2.1041999999999998E-2</v>
      </c>
      <c r="M3" s="8">
        <f>J3-K3</f>
        <v>1.05</v>
      </c>
      <c r="N3" s="8">
        <f>M3*0.01216</f>
        <v>1.2768000000000002E-2</v>
      </c>
      <c r="O3" s="8">
        <f>D3+F3+H3-J3</f>
        <v>4.6999999999999993</v>
      </c>
      <c r="P3" s="8">
        <f>O3*0.023</f>
        <v>0.10809999999999999</v>
      </c>
      <c r="Q3" s="8">
        <f>P3*W3/(W3+X3)*10</f>
        <v>1.717253516223697E-2</v>
      </c>
      <c r="R3" s="8">
        <f>P3*X3/(W3+X3)*10</f>
        <v>1.0638274648377628</v>
      </c>
      <c r="S3" s="8">
        <v>6.05</v>
      </c>
      <c r="T3" s="8">
        <v>5</v>
      </c>
      <c r="U3" s="24">
        <f>E3+G3+I3+L3+N3+P3</f>
        <v>0.40487544999999997</v>
      </c>
      <c r="V3" s="8"/>
      <c r="W3" s="25">
        <v>2.6771599999999996E-2</v>
      </c>
      <c r="X3" s="26">
        <v>1.6584833333333335</v>
      </c>
      <c r="Z3" s="3">
        <f>+W3/X3</f>
        <v>1.6142218291812796E-2</v>
      </c>
    </row>
    <row r="4" spans="1:26" s="3" customFormat="1" ht="15.75" x14ac:dyDescent="0.4">
      <c r="A4" s="4"/>
      <c r="B4" s="6" t="s">
        <v>133</v>
      </c>
      <c r="C4" s="4" t="s">
        <v>90</v>
      </c>
      <c r="D4" s="8">
        <v>0.32500000000000001</v>
      </c>
      <c r="E4" s="8">
        <v>1.9558499999999999E-2</v>
      </c>
      <c r="F4" s="8">
        <v>7.8</v>
      </c>
      <c r="G4" s="8">
        <v>0.27656459999999999</v>
      </c>
      <c r="H4" s="8">
        <v>1.175</v>
      </c>
      <c r="I4" s="8">
        <v>5.6438775000000038E-2</v>
      </c>
      <c r="J4" s="8">
        <v>2.65</v>
      </c>
      <c r="K4" s="8">
        <v>1.125</v>
      </c>
      <c r="L4" s="8">
        <v>2.2544999999999999E-2</v>
      </c>
      <c r="M4" s="8">
        <v>1.5249999999999999</v>
      </c>
      <c r="N4" s="8">
        <v>1.8543999999999998E-2</v>
      </c>
      <c r="O4" s="8">
        <v>6.65</v>
      </c>
      <c r="P4" s="8">
        <v>0.15295</v>
      </c>
      <c r="Q4" s="8">
        <f t="shared" ref="Q4:Q17" si="0">P4*W4/(W4+X4)*10</f>
        <v>2.4113446180717556E-2</v>
      </c>
      <c r="R4" s="8">
        <f t="shared" ref="R4:R17" si="1">P4*X4/(W4+X4)*10</f>
        <v>1.5053865538192825</v>
      </c>
      <c r="S4" s="8">
        <v>8.9749999999999996</v>
      </c>
      <c r="T4" s="8">
        <v>7.5</v>
      </c>
      <c r="U4" s="27">
        <v>0.54660087499999999</v>
      </c>
      <c r="V4" s="8"/>
      <c r="W4" s="25">
        <v>2.8962450000000001E-2</v>
      </c>
      <c r="X4" s="26">
        <v>1.8081066666666665</v>
      </c>
      <c r="Z4" s="3">
        <f t="shared" ref="Z4:Z17" si="2">+W4/X4</f>
        <v>1.6018109182349125E-2</v>
      </c>
    </row>
    <row r="5" spans="1:26" s="3" customFormat="1" ht="15.75" x14ac:dyDescent="0.4">
      <c r="A5" s="4"/>
      <c r="B5" s="6" t="s">
        <v>133</v>
      </c>
      <c r="C5" s="4" t="s">
        <v>91</v>
      </c>
      <c r="D5" s="8">
        <v>0.45</v>
      </c>
      <c r="E5" s="8">
        <f>D5*0.06018</f>
        <v>2.7081000000000001E-2</v>
      </c>
      <c r="F5" s="8">
        <v>8.1</v>
      </c>
      <c r="G5" s="8">
        <f>F5*0.035457</f>
        <v>0.2872017</v>
      </c>
      <c r="H5" s="8">
        <f>(J5+T5)-S5</f>
        <v>1.0499999999999989</v>
      </c>
      <c r="I5" s="8">
        <f>H5*0.048033</f>
        <v>5.0434649999999949E-2</v>
      </c>
      <c r="J5" s="8">
        <v>2.7</v>
      </c>
      <c r="K5" s="8">
        <v>1.1000000000000001</v>
      </c>
      <c r="L5" s="8">
        <f>K5*0.02004</f>
        <v>2.2044000000000001E-2</v>
      </c>
      <c r="M5" s="8">
        <f>J5-K5</f>
        <v>1.6</v>
      </c>
      <c r="N5" s="8">
        <f>M5*0.01216</f>
        <v>1.9456000000000001E-2</v>
      </c>
      <c r="O5" s="8">
        <f>D5+F5+H5-J5</f>
        <v>6.8999999999999977</v>
      </c>
      <c r="P5" s="8">
        <f>O5*0.023</f>
        <v>0.15869999999999995</v>
      </c>
      <c r="Q5" s="8">
        <f t="shared" si="0"/>
        <v>2.2797981843302229E-2</v>
      </c>
      <c r="R5" s="8">
        <f t="shared" si="1"/>
        <v>1.5642020181566973</v>
      </c>
      <c r="S5" s="8">
        <v>11.65</v>
      </c>
      <c r="T5" s="8">
        <v>10</v>
      </c>
      <c r="U5" s="24">
        <f>E5+G5+I5+L5+N5+P5</f>
        <v>0.56491734999999998</v>
      </c>
      <c r="V5" s="8"/>
      <c r="W5" s="25">
        <v>5.1704799999999995E-2</v>
      </c>
      <c r="X5" s="26">
        <v>3.5475400000000001</v>
      </c>
      <c r="Z5" s="3">
        <f t="shared" si="2"/>
        <v>1.4574832137199296E-2</v>
      </c>
    </row>
    <row r="6" spans="1:26" s="3" customFormat="1" ht="15.75" x14ac:dyDescent="0.4">
      <c r="A6" s="4"/>
      <c r="B6" s="6" t="s">
        <v>133</v>
      </c>
      <c r="C6" s="4" t="s">
        <v>92</v>
      </c>
      <c r="D6" s="8">
        <v>0.35</v>
      </c>
      <c r="E6" s="8">
        <f>D6*0.06018</f>
        <v>2.1062999999999998E-2</v>
      </c>
      <c r="F6" s="8">
        <v>8</v>
      </c>
      <c r="G6" s="8">
        <f>F6*0.035457</f>
        <v>0.28365600000000002</v>
      </c>
      <c r="H6" s="8">
        <f>(J6+T6)-S6</f>
        <v>0.75</v>
      </c>
      <c r="I6" s="8">
        <f>H6*0.048033</f>
        <v>3.6024750000000001E-2</v>
      </c>
      <c r="J6" s="8">
        <v>2.25</v>
      </c>
      <c r="K6" s="8">
        <v>1</v>
      </c>
      <c r="L6" s="8">
        <f>K6*0.02004</f>
        <v>2.0039999999999999E-2</v>
      </c>
      <c r="M6" s="8">
        <f>J6-K6</f>
        <v>1.25</v>
      </c>
      <c r="N6" s="8">
        <f>M6*0.01216</f>
        <v>1.5200000000000002E-2</v>
      </c>
      <c r="O6" s="8">
        <f>D6+F6+H6-J6</f>
        <v>6.85</v>
      </c>
      <c r="P6" s="8">
        <f>O6*0.023</f>
        <v>0.15755</v>
      </c>
      <c r="Q6" s="8">
        <f t="shared" si="0"/>
        <v>2.1314254097481972E-2</v>
      </c>
      <c r="R6" s="8">
        <f t="shared" si="1"/>
        <v>1.5541857459025183</v>
      </c>
      <c r="S6" s="8">
        <v>6.5</v>
      </c>
      <c r="T6" s="8">
        <v>5</v>
      </c>
      <c r="U6" s="24">
        <f>E6+G6+I6+L6+N6+P6</f>
        <v>0.53353375000000003</v>
      </c>
      <c r="V6" s="8"/>
      <c r="W6" s="25">
        <v>4.1321900000000002E-2</v>
      </c>
      <c r="X6" s="26">
        <v>3.0130966666666663</v>
      </c>
      <c r="Z6" s="3">
        <f t="shared" si="2"/>
        <v>1.3714097014256653E-2</v>
      </c>
    </row>
    <row r="7" spans="1:26" s="3" customFormat="1" ht="15.75" x14ac:dyDescent="0.4">
      <c r="A7" s="4"/>
      <c r="B7" s="6" t="s">
        <v>133</v>
      </c>
      <c r="C7" s="4" t="s">
        <v>93</v>
      </c>
      <c r="D7" s="8">
        <v>0.35</v>
      </c>
      <c r="E7" s="8">
        <f>D7*0.06018</f>
        <v>2.1062999999999998E-2</v>
      </c>
      <c r="F7" s="8">
        <v>8</v>
      </c>
      <c r="G7" s="8">
        <f>F7*0.035457</f>
        <v>0.28365600000000002</v>
      </c>
      <c r="H7" s="8">
        <f>(J7+T7)-S7</f>
        <v>0.90000000000000036</v>
      </c>
      <c r="I7" s="8">
        <f>H7*0.048033</f>
        <v>4.3229700000000017E-2</v>
      </c>
      <c r="J7" s="8">
        <v>2.4</v>
      </c>
      <c r="K7" s="8">
        <v>1.05</v>
      </c>
      <c r="L7" s="8">
        <f>K7*0.02004</f>
        <v>2.1041999999999998E-2</v>
      </c>
      <c r="M7" s="8">
        <f>J7-K7</f>
        <v>1.3499999999999999</v>
      </c>
      <c r="N7" s="8">
        <f>M7*0.01216</f>
        <v>1.6416E-2</v>
      </c>
      <c r="O7" s="8">
        <f>D7+F7+H7-J7</f>
        <v>6.85</v>
      </c>
      <c r="P7" s="8">
        <f>O7*0.023</f>
        <v>0.15755</v>
      </c>
      <c r="Q7" s="8">
        <f t="shared" si="0"/>
        <v>2.6454884067592357E-2</v>
      </c>
      <c r="R7" s="8">
        <f t="shared" si="1"/>
        <v>1.5490451159324072</v>
      </c>
      <c r="S7" s="8">
        <v>6.5</v>
      </c>
      <c r="T7" s="8">
        <v>5</v>
      </c>
      <c r="U7" s="24">
        <f>E7+G7+I7+L7+N7+P7</f>
        <v>0.54295670000000007</v>
      </c>
      <c r="V7" s="8"/>
      <c r="W7" s="25">
        <v>3.9416799999999995E-2</v>
      </c>
      <c r="X7" s="26">
        <v>2.30802</v>
      </c>
      <c r="Z7" s="3">
        <f t="shared" si="2"/>
        <v>1.7078188230604585E-2</v>
      </c>
    </row>
    <row r="8" spans="1:26" s="3" customFormat="1" ht="15.75" x14ac:dyDescent="0.4">
      <c r="A8" s="4" t="s">
        <v>94</v>
      </c>
      <c r="B8" s="6" t="s">
        <v>133</v>
      </c>
      <c r="C8" s="4" t="s">
        <v>89</v>
      </c>
      <c r="D8" s="3">
        <v>0.35</v>
      </c>
      <c r="E8" s="3">
        <f>D8*0.06018</f>
        <v>2.1062999999999998E-2</v>
      </c>
      <c r="F8" s="3">
        <v>4</v>
      </c>
      <c r="G8" s="3">
        <f>F8*0.035457</f>
        <v>0.14182800000000001</v>
      </c>
      <c r="H8" s="3">
        <f>(J8+T8)-S8</f>
        <v>0.95000000000000018</v>
      </c>
      <c r="I8" s="8">
        <f>H8*0.048033</f>
        <v>4.5631350000000008E-2</v>
      </c>
      <c r="J8" s="8">
        <v>1.3</v>
      </c>
      <c r="K8" s="8">
        <v>0.5</v>
      </c>
      <c r="L8" s="8">
        <f>K8*0.02004</f>
        <v>1.0019999999999999E-2</v>
      </c>
      <c r="M8" s="8">
        <f>J8-K8</f>
        <v>0.8</v>
      </c>
      <c r="N8" s="8">
        <f>M8*0.01216</f>
        <v>9.7280000000000005E-3</v>
      </c>
      <c r="O8" s="3">
        <f>D8+F8+H8-J8</f>
        <v>4</v>
      </c>
      <c r="P8" s="3">
        <f>O8*0.023</f>
        <v>9.1999999999999998E-2</v>
      </c>
      <c r="Q8" s="8">
        <f t="shared" si="0"/>
        <v>2.0950274715781474E-2</v>
      </c>
      <c r="R8" s="8">
        <f t="shared" si="1"/>
        <v>0.89904972528421867</v>
      </c>
      <c r="S8" s="3">
        <v>5.35</v>
      </c>
      <c r="T8" s="3">
        <v>5</v>
      </c>
      <c r="U8" s="24">
        <f>E8+G8+I8+L8+N8+P8</f>
        <v>0.32027035000000004</v>
      </c>
      <c r="V8" s="8"/>
      <c r="W8" s="25">
        <v>2.9819750000000003E-2</v>
      </c>
      <c r="X8" s="26">
        <v>1.2796700000000001</v>
      </c>
      <c r="Z8" s="3">
        <f t="shared" si="2"/>
        <v>2.3302687411598303E-2</v>
      </c>
    </row>
    <row r="9" spans="1:26" s="3" customFormat="1" ht="15.75" x14ac:dyDescent="0.4">
      <c r="A9" s="4"/>
      <c r="B9" s="6" t="s">
        <v>133</v>
      </c>
      <c r="C9" s="4" t="s">
        <v>90</v>
      </c>
      <c r="D9" s="8">
        <v>0.47499999999999998</v>
      </c>
      <c r="E9" s="8">
        <v>2.85855E-2</v>
      </c>
      <c r="F9" s="8">
        <v>5.5</v>
      </c>
      <c r="G9" s="8">
        <v>0.19501350000000001</v>
      </c>
      <c r="H9" s="8">
        <v>1.2749999999999999</v>
      </c>
      <c r="I9" s="8">
        <v>6.1242075000000021E-2</v>
      </c>
      <c r="J9" s="8">
        <v>1.675</v>
      </c>
      <c r="K9" s="8">
        <v>0.65</v>
      </c>
      <c r="L9" s="8">
        <v>1.3025999999999999E-2</v>
      </c>
      <c r="M9" s="8">
        <v>1.0249999999999999</v>
      </c>
      <c r="N9" s="8">
        <v>1.2463999999999999E-2</v>
      </c>
      <c r="O9" s="8">
        <v>5.5750000000000002</v>
      </c>
      <c r="P9" s="8">
        <v>0.12822500000000001</v>
      </c>
      <c r="Q9" s="8">
        <f t="shared" si="0"/>
        <v>1.7733205017334552E-2</v>
      </c>
      <c r="R9" s="8">
        <f t="shared" si="1"/>
        <v>1.2645167949826654</v>
      </c>
      <c r="S9" s="8">
        <v>5.4</v>
      </c>
      <c r="T9" s="8">
        <v>5</v>
      </c>
      <c r="U9" s="27">
        <v>0.43855607499999999</v>
      </c>
      <c r="V9" s="8"/>
      <c r="W9" s="25">
        <v>4.3012699999999994E-2</v>
      </c>
      <c r="X9" s="26">
        <v>3.0671433333333336</v>
      </c>
      <c r="Z9" s="3">
        <f t="shared" si="2"/>
        <v>1.402370066391854E-2</v>
      </c>
    </row>
    <row r="10" spans="1:26" s="3" customFormat="1" ht="15.75" x14ac:dyDescent="0.4">
      <c r="A10" s="4"/>
      <c r="B10" s="6" t="s">
        <v>133</v>
      </c>
      <c r="C10" s="4" t="s">
        <v>91</v>
      </c>
      <c r="D10" s="3">
        <v>0.35</v>
      </c>
      <c r="E10" s="3">
        <f>D10*0.06018</f>
        <v>2.1062999999999998E-2</v>
      </c>
      <c r="F10" s="3">
        <v>5.8</v>
      </c>
      <c r="G10" s="3">
        <f>F10*0.035457</f>
        <v>0.20565060000000002</v>
      </c>
      <c r="H10" s="3">
        <f>(J10+T10)-S10</f>
        <v>1.3499999999999996</v>
      </c>
      <c r="I10" s="8">
        <f>H10*0.048033</f>
        <v>6.4844549999999987E-2</v>
      </c>
      <c r="J10" s="8">
        <v>1.75</v>
      </c>
      <c r="K10" s="8">
        <v>0.55000000000000004</v>
      </c>
      <c r="L10" s="8">
        <f>K10*0.02004</f>
        <v>1.1022000000000001E-2</v>
      </c>
      <c r="M10" s="8">
        <f>J10-K10</f>
        <v>1.2</v>
      </c>
      <c r="N10" s="8">
        <f>M10*0.01216</f>
        <v>1.4592000000000001E-2</v>
      </c>
      <c r="O10" s="3">
        <f>D10+F10+H10-J10</f>
        <v>5.7499999999999991</v>
      </c>
      <c r="P10" s="3">
        <f>O10*0.023</f>
        <v>0.13224999999999998</v>
      </c>
      <c r="Q10" s="8">
        <f t="shared" si="0"/>
        <v>2.1273251980063749E-2</v>
      </c>
      <c r="R10" s="8">
        <f t="shared" si="1"/>
        <v>1.301226748019936</v>
      </c>
      <c r="S10" s="3">
        <v>5.4</v>
      </c>
      <c r="T10" s="3">
        <v>5</v>
      </c>
      <c r="U10" s="24">
        <f>E10+G10+I10+L10+N10+P10</f>
        <v>0.44942214999999996</v>
      </c>
      <c r="V10" s="8"/>
      <c r="W10" s="25">
        <v>4.0440799999999999E-2</v>
      </c>
      <c r="X10" s="26">
        <v>2.4736533333333335</v>
      </c>
      <c r="Z10" s="3">
        <f t="shared" si="2"/>
        <v>1.634861257842651E-2</v>
      </c>
    </row>
    <row r="11" spans="1:26" s="3" customFormat="1" ht="15.75" x14ac:dyDescent="0.4">
      <c r="A11" s="4"/>
      <c r="B11" s="6" t="s">
        <v>133</v>
      </c>
      <c r="C11" s="4" t="s">
        <v>92</v>
      </c>
      <c r="D11" s="3">
        <v>0.4</v>
      </c>
      <c r="E11" s="3">
        <f>D11*0.06018</f>
        <v>2.4072E-2</v>
      </c>
      <c r="F11" s="3">
        <v>5.6</v>
      </c>
      <c r="G11" s="3">
        <f>F11*0.035457</f>
        <v>0.19855919999999999</v>
      </c>
      <c r="H11" s="3">
        <f>(J11+T11)-S11</f>
        <v>1</v>
      </c>
      <c r="I11" s="8">
        <f>H11*0.048033</f>
        <v>4.8032999999999999E-2</v>
      </c>
      <c r="J11" s="8">
        <v>1.7</v>
      </c>
      <c r="K11" s="8">
        <v>0.65</v>
      </c>
      <c r="L11" s="8">
        <f>K11*0.02004</f>
        <v>1.3025999999999999E-2</v>
      </c>
      <c r="M11" s="8">
        <f>J11-K11</f>
        <v>1.0499999999999998</v>
      </c>
      <c r="N11" s="8">
        <f>M11*0.01216</f>
        <v>1.2767999999999998E-2</v>
      </c>
      <c r="O11" s="3">
        <f>D11+F11+H11-J11</f>
        <v>5.3</v>
      </c>
      <c r="P11" s="3">
        <f>O11*0.023</f>
        <v>0.12189999999999999</v>
      </c>
      <c r="Q11" s="8">
        <f t="shared" si="0"/>
        <v>1.7370828865563383E-2</v>
      </c>
      <c r="R11" s="8">
        <f t="shared" si="1"/>
        <v>1.2016291711344365</v>
      </c>
      <c r="S11" s="3">
        <v>5.7</v>
      </c>
      <c r="T11" s="3">
        <v>5</v>
      </c>
      <c r="U11" s="24">
        <f>E11+G11+I11+L11+N11+P11</f>
        <v>0.41835820000000001</v>
      </c>
      <c r="V11" s="8"/>
      <c r="W11" s="25">
        <v>4.8013650000000012E-2</v>
      </c>
      <c r="X11" s="26">
        <v>3.3213500000000002</v>
      </c>
      <c r="Z11" s="3">
        <f t="shared" si="2"/>
        <v>1.4456064552064675E-2</v>
      </c>
    </row>
    <row r="12" spans="1:26" s="3" customFormat="1" ht="15.75" x14ac:dyDescent="0.4">
      <c r="A12" s="4"/>
      <c r="B12" s="6" t="s">
        <v>133</v>
      </c>
      <c r="C12" s="4" t="s">
        <v>93</v>
      </c>
      <c r="D12" s="3">
        <v>0.45</v>
      </c>
      <c r="E12" s="3">
        <f>D12*0.06018</f>
        <v>2.7081000000000001E-2</v>
      </c>
      <c r="F12" s="3">
        <v>5.7</v>
      </c>
      <c r="G12" s="3">
        <f>F12*0.035457</f>
        <v>0.20210490000000003</v>
      </c>
      <c r="H12" s="3">
        <f>(J12+T12)-S12</f>
        <v>1.0999999999999996</v>
      </c>
      <c r="I12" s="8">
        <f>H12*0.048033</f>
        <v>5.2836299999999982E-2</v>
      </c>
      <c r="J12" s="8">
        <v>1.6</v>
      </c>
      <c r="K12" s="8">
        <v>0.65</v>
      </c>
      <c r="L12" s="8">
        <f>K12*0.02004</f>
        <v>1.3025999999999999E-2</v>
      </c>
      <c r="M12" s="8">
        <f>J12-K12</f>
        <v>0.95000000000000007</v>
      </c>
      <c r="N12" s="8">
        <f>M12*0.01216</f>
        <v>1.1552000000000002E-2</v>
      </c>
      <c r="O12" s="3">
        <f>D12+F12+H12-J12</f>
        <v>5.65</v>
      </c>
      <c r="P12" s="3">
        <f>O12*0.023</f>
        <v>0.12995000000000001</v>
      </c>
      <c r="Q12" s="8">
        <f t="shared" si="0"/>
        <v>1.7889158953280235E-2</v>
      </c>
      <c r="R12" s="8">
        <f t="shared" si="1"/>
        <v>1.2816108410467197</v>
      </c>
      <c r="S12" s="3">
        <v>5.5</v>
      </c>
      <c r="T12" s="3">
        <v>5</v>
      </c>
      <c r="U12" s="24">
        <f>E12+G12+I12+L12+N12+P12</f>
        <v>0.4365502</v>
      </c>
      <c r="V12" s="8"/>
      <c r="W12" s="25">
        <v>4.0702750000000003E-2</v>
      </c>
      <c r="X12" s="26">
        <v>2.9160166666666663</v>
      </c>
      <c r="Z12" s="3">
        <f t="shared" si="2"/>
        <v>1.3958339287041115E-2</v>
      </c>
    </row>
    <row r="13" spans="1:26" s="3" customFormat="1" ht="15.75" x14ac:dyDescent="0.4">
      <c r="A13" s="4" t="s">
        <v>95</v>
      </c>
      <c r="B13" s="6" t="s">
        <v>133</v>
      </c>
      <c r="C13" s="4" t="s">
        <v>89</v>
      </c>
      <c r="D13" s="3">
        <v>0.55000000000000004</v>
      </c>
      <c r="E13" s="3">
        <f>D13*0.06018</f>
        <v>3.3099000000000003E-2</v>
      </c>
      <c r="F13" s="3">
        <v>7.9</v>
      </c>
      <c r="G13" s="3">
        <f>F13*0.035457</f>
        <v>0.28011030000000003</v>
      </c>
      <c r="H13" s="3">
        <f>(J13+T13)-S13</f>
        <v>1.0499999999999998</v>
      </c>
      <c r="I13" s="8">
        <f>H13*0.048033</f>
        <v>5.0434649999999991E-2</v>
      </c>
      <c r="J13" s="8">
        <v>1.25</v>
      </c>
      <c r="K13" s="8">
        <v>0.4</v>
      </c>
      <c r="L13" s="8">
        <f>K13*0.02004</f>
        <v>8.0160000000000006E-3</v>
      </c>
      <c r="M13" s="8">
        <f>J13-K13</f>
        <v>0.85</v>
      </c>
      <c r="N13" s="8">
        <f>M13*0.01216</f>
        <v>1.0336E-2</v>
      </c>
      <c r="O13" s="3">
        <f>D13+F13+H13-J13</f>
        <v>8.25</v>
      </c>
      <c r="P13" s="3">
        <f>O13*0.023</f>
        <v>0.18975</v>
      </c>
      <c r="Q13" s="8">
        <f t="shared" si="0"/>
        <v>3.5856841894607583E-2</v>
      </c>
      <c r="R13" s="8">
        <f t="shared" si="1"/>
        <v>1.8616431581053925</v>
      </c>
      <c r="S13" s="3">
        <v>5.2</v>
      </c>
      <c r="T13" s="3">
        <v>5</v>
      </c>
      <c r="U13" s="24">
        <f>E13+G13+I13+L13+N13+P13</f>
        <v>0.57174595000000006</v>
      </c>
      <c r="V13" s="8"/>
      <c r="W13" s="8">
        <f>AVERAGE(W8,W3)</f>
        <v>2.8295674999999999E-2</v>
      </c>
      <c r="X13" s="8">
        <f>AVERAGE(X8,X3)</f>
        <v>1.4690766666666668</v>
      </c>
      <c r="Z13" s="3">
        <f t="shared" si="2"/>
        <v>1.9260856592462836E-2</v>
      </c>
    </row>
    <row r="14" spans="1:26" s="3" customFormat="1" ht="15.75" x14ac:dyDescent="0.4">
      <c r="A14" s="4"/>
      <c r="B14" s="6" t="s">
        <v>133</v>
      </c>
      <c r="C14" s="4" t="s">
        <v>90</v>
      </c>
      <c r="D14" s="8">
        <v>0.55000000000000004</v>
      </c>
      <c r="E14" s="8">
        <v>3.3099000000000003E-2</v>
      </c>
      <c r="F14" s="8">
        <v>3.65</v>
      </c>
      <c r="G14" s="8">
        <v>0.12941805000000001</v>
      </c>
      <c r="H14" s="8">
        <v>1.0249999999999999</v>
      </c>
      <c r="I14" s="8">
        <v>4.9233824999999995E-2</v>
      </c>
      <c r="J14" s="8">
        <v>1.0249999999999999</v>
      </c>
      <c r="K14" s="8">
        <v>0.4</v>
      </c>
      <c r="L14" s="8">
        <v>8.0160000000000006E-3</v>
      </c>
      <c r="M14" s="8">
        <v>0.625</v>
      </c>
      <c r="N14" s="8">
        <v>7.6E-3</v>
      </c>
      <c r="O14" s="8">
        <v>4.2</v>
      </c>
      <c r="P14" s="8">
        <v>9.6599999999999978E-2</v>
      </c>
      <c r="Q14" s="8">
        <f t="shared" si="0"/>
        <v>1.5081735670326682E-2</v>
      </c>
      <c r="R14" s="8">
        <f t="shared" si="1"/>
        <v>0.95091826432967308</v>
      </c>
      <c r="S14" s="8">
        <v>5</v>
      </c>
      <c r="T14" s="8">
        <v>5</v>
      </c>
      <c r="U14" s="27">
        <v>0.32396687499999999</v>
      </c>
      <c r="V14" s="8"/>
      <c r="W14" s="25">
        <v>2.9772149999999997E-2</v>
      </c>
      <c r="X14" s="26">
        <v>1.8771633333333335</v>
      </c>
      <c r="Z14" s="3">
        <f t="shared" si="2"/>
        <v>1.5860180875754016E-2</v>
      </c>
    </row>
    <row r="15" spans="1:26" s="3" customFormat="1" ht="15.75" x14ac:dyDescent="0.4">
      <c r="A15" s="4"/>
      <c r="B15" s="6" t="s">
        <v>133</v>
      </c>
      <c r="C15" s="4" t="s">
        <v>91</v>
      </c>
      <c r="D15" s="3">
        <v>0.55000000000000004</v>
      </c>
      <c r="E15" s="3">
        <f>D15*0.06018</f>
        <v>3.3099000000000003E-2</v>
      </c>
      <c r="F15" s="3">
        <v>3.2</v>
      </c>
      <c r="G15" s="3">
        <f>F15*0.035457</f>
        <v>0.11346240000000002</v>
      </c>
      <c r="H15" s="3">
        <f>(J15+T15)-S15</f>
        <v>0.54999999999999982</v>
      </c>
      <c r="I15" s="8">
        <f>H15*0.048033</f>
        <v>2.6418149999999991E-2</v>
      </c>
      <c r="J15" s="8">
        <v>0.7</v>
      </c>
      <c r="K15" s="8">
        <v>0.25</v>
      </c>
      <c r="L15" s="8">
        <f>K15*0.02004</f>
        <v>5.0099999999999997E-3</v>
      </c>
      <c r="M15" s="8">
        <f>J15-K15</f>
        <v>0.44999999999999996</v>
      </c>
      <c r="N15" s="8">
        <f>M15*0.01216</f>
        <v>5.4719999999999994E-3</v>
      </c>
      <c r="O15" s="3">
        <f>D15+F15+H15-J15</f>
        <v>3.5999999999999996</v>
      </c>
      <c r="P15" s="3">
        <f>O15*0.023</f>
        <v>8.2799999999999985E-2</v>
      </c>
      <c r="Q15" s="8">
        <f t="shared" si="0"/>
        <v>1.1845152739893222E-2</v>
      </c>
      <c r="R15" s="8">
        <f t="shared" si="1"/>
        <v>0.81615484726010656</v>
      </c>
      <c r="S15" s="3">
        <v>5.15</v>
      </c>
      <c r="T15" s="3">
        <v>5</v>
      </c>
      <c r="U15" s="24">
        <f>E15+G15+I15+L15+N15+P15</f>
        <v>0.26626154999999996</v>
      </c>
      <c r="V15" s="8"/>
      <c r="W15" s="25">
        <v>2.762885E-2</v>
      </c>
      <c r="X15" s="26">
        <v>1.9036833333333334</v>
      </c>
      <c r="Z15" s="3">
        <f t="shared" si="2"/>
        <v>1.4513364442615631E-2</v>
      </c>
    </row>
    <row r="16" spans="1:26" s="3" customFormat="1" ht="15.75" x14ac:dyDescent="0.4">
      <c r="A16" s="4"/>
      <c r="B16" s="6" t="s">
        <v>133</v>
      </c>
      <c r="C16" s="4" t="s">
        <v>92</v>
      </c>
      <c r="D16" s="3">
        <v>0.5</v>
      </c>
      <c r="E16" s="3">
        <f>D16*0.06018</f>
        <v>3.0089999999999999E-2</v>
      </c>
      <c r="F16" s="3">
        <v>3.2</v>
      </c>
      <c r="G16" s="3">
        <f>F16*0.035457</f>
        <v>0.11346240000000002</v>
      </c>
      <c r="H16" s="3">
        <f>(J16+T16)-S16</f>
        <v>0.54999999999999982</v>
      </c>
      <c r="I16" s="8">
        <f>H16*0.048033</f>
        <v>2.6418149999999991E-2</v>
      </c>
      <c r="J16" s="8">
        <v>0.6</v>
      </c>
      <c r="K16" s="8">
        <v>0.2</v>
      </c>
      <c r="L16" s="8">
        <f>K16*0.02004</f>
        <v>4.0080000000000003E-3</v>
      </c>
      <c r="M16" s="8">
        <f>J16-K16</f>
        <v>0.39999999999999997</v>
      </c>
      <c r="N16" s="8">
        <f>M16*0.01216</f>
        <v>4.8640000000000003E-3</v>
      </c>
      <c r="O16" s="3">
        <f>D16+F16+H16-J16</f>
        <v>3.65</v>
      </c>
      <c r="P16" s="3">
        <f>O16*0.023</f>
        <v>8.3949999999999997E-2</v>
      </c>
      <c r="Q16" s="8">
        <f t="shared" si="0"/>
        <v>1.425935655628135E-2</v>
      </c>
      <c r="R16" s="8">
        <f t="shared" si="1"/>
        <v>0.82524064344371861</v>
      </c>
      <c r="S16" s="3">
        <v>5.05</v>
      </c>
      <c r="T16" s="3">
        <v>5</v>
      </c>
      <c r="U16" s="24">
        <f>E16+G16+I16+L16+N16+P16</f>
        <v>0.26279255000000001</v>
      </c>
      <c r="V16" s="8"/>
      <c r="W16" s="25">
        <v>2.4152049999999998E-2</v>
      </c>
      <c r="X16" s="26">
        <v>1.3977666666666668</v>
      </c>
      <c r="Z16" s="3">
        <f t="shared" si="2"/>
        <v>1.7279028450146658E-2</v>
      </c>
    </row>
    <row r="17" spans="1:26" s="3" customFormat="1" ht="15.75" x14ac:dyDescent="0.4">
      <c r="A17" s="4"/>
      <c r="B17" s="6" t="s">
        <v>133</v>
      </c>
      <c r="C17" s="4" t="s">
        <v>93</v>
      </c>
      <c r="D17" s="3">
        <v>0.3</v>
      </c>
      <c r="E17" s="3">
        <f>D17*0.06018</f>
        <v>1.8053999999999997E-2</v>
      </c>
      <c r="F17" s="3">
        <v>3.6</v>
      </c>
      <c r="G17" s="3">
        <f>F17*0.035457</f>
        <v>0.12764520000000001</v>
      </c>
      <c r="H17" s="3">
        <f>(J17+T17)-S17</f>
        <v>0.59999999999999964</v>
      </c>
      <c r="I17" s="8">
        <f>H17*0.048033</f>
        <v>2.8819799999999982E-2</v>
      </c>
      <c r="J17" s="8">
        <v>0.8</v>
      </c>
      <c r="K17" s="8">
        <v>0.25</v>
      </c>
      <c r="L17" s="8">
        <f>K17*0.02004</f>
        <v>5.0099999999999997E-3</v>
      </c>
      <c r="M17" s="8">
        <f>J17-K17</f>
        <v>0.55000000000000004</v>
      </c>
      <c r="N17" s="8">
        <f>M17*0.01216</f>
        <v>6.6880000000000012E-3</v>
      </c>
      <c r="O17" s="3">
        <f>D17+F17+H17-J17</f>
        <v>3.7</v>
      </c>
      <c r="P17" s="3">
        <f>O17*0.023</f>
        <v>8.5100000000000009E-2</v>
      </c>
      <c r="Q17" s="8">
        <f t="shared" si="0"/>
        <v>1.6592399457104078E-2</v>
      </c>
      <c r="R17" s="8">
        <f t="shared" si="1"/>
        <v>0.83440760054289587</v>
      </c>
      <c r="S17" s="3">
        <v>5.2</v>
      </c>
      <c r="T17" s="3">
        <v>5</v>
      </c>
      <c r="U17" s="24">
        <f>E17+G17+I17+L17+N17+P17</f>
        <v>0.27131699999999997</v>
      </c>
      <c r="V17" s="8"/>
      <c r="W17" s="25">
        <v>2.5247499999999996E-2</v>
      </c>
      <c r="X17" s="26">
        <v>1.26966</v>
      </c>
      <c r="Z17" s="3">
        <f t="shared" si="2"/>
        <v>1.9885244868705004E-2</v>
      </c>
    </row>
    <row r="18" spans="1:26" ht="15.75" x14ac:dyDescent="0.4">
      <c r="V18" s="8"/>
      <c r="Z18" s="3">
        <f>AVERAGE(Z3:Z17)</f>
        <v>1.642770163859705E-2</v>
      </c>
    </row>
    <row r="19" spans="1:26" s="3" customFormat="1" ht="15.75" x14ac:dyDescent="0.4">
      <c r="A19" s="4" t="s">
        <v>96</v>
      </c>
      <c r="B19" s="6" t="s">
        <v>134</v>
      </c>
      <c r="C19" s="4" t="s">
        <v>89</v>
      </c>
      <c r="D19" s="3">
        <v>0.4</v>
      </c>
      <c r="E19" s="3">
        <f>D19*0.06018</f>
        <v>2.4072E-2</v>
      </c>
      <c r="F19" s="3">
        <v>5.55</v>
      </c>
      <c r="G19" s="3">
        <f>F19*0.035457</f>
        <v>0.19678635</v>
      </c>
      <c r="H19" s="8">
        <f>(J19+T19)-S19</f>
        <v>1.5500000000000007</v>
      </c>
      <c r="I19" s="8">
        <f>H19*0.048033</f>
        <v>7.4451150000000035E-2</v>
      </c>
      <c r="J19" s="8">
        <v>2.5499999999999998</v>
      </c>
      <c r="K19" s="8">
        <v>1.4</v>
      </c>
      <c r="L19" s="8">
        <f>K19*0.02004</f>
        <v>2.8055999999999998E-2</v>
      </c>
      <c r="M19" s="8">
        <f>J19-K19</f>
        <v>1.1499999999999999</v>
      </c>
      <c r="N19" s="8">
        <f>M19*0.01216</f>
        <v>1.3984E-2</v>
      </c>
      <c r="O19" s="8">
        <f>D19+F19+H19-J19</f>
        <v>4.9500000000000011</v>
      </c>
      <c r="P19" s="8">
        <f>O19*0.023</f>
        <v>0.11385000000000002</v>
      </c>
      <c r="Q19" s="8">
        <f>P19*W19/(W19+X19)*10</f>
        <v>2.07112443573109E-2</v>
      </c>
      <c r="R19" s="8">
        <f>P19*X19/(W19+X19)*10</f>
        <v>1.1177887556426893</v>
      </c>
      <c r="S19" s="3">
        <v>11</v>
      </c>
      <c r="T19" s="3">
        <v>10</v>
      </c>
      <c r="U19" s="24">
        <f>E19+G19+I19+L19+N19+P19</f>
        <v>0.45119950000000009</v>
      </c>
      <c r="V19" s="8"/>
      <c r="W19" s="25">
        <v>1.767465E-2</v>
      </c>
      <c r="X19" s="26">
        <v>0.95390333333333333</v>
      </c>
    </row>
    <row r="20" spans="1:26" s="3" customFormat="1" ht="15.75" x14ac:dyDescent="0.4">
      <c r="A20" s="4"/>
      <c r="B20" s="6" t="s">
        <v>134</v>
      </c>
      <c r="C20" s="4" t="s">
        <v>90</v>
      </c>
      <c r="D20" s="8">
        <v>0.32500000000000001</v>
      </c>
      <c r="E20" s="8">
        <v>1.9558499999999999E-2</v>
      </c>
      <c r="F20" s="8">
        <v>8.9499999999999993</v>
      </c>
      <c r="G20" s="8">
        <v>0.31734015000000004</v>
      </c>
      <c r="H20" s="8">
        <v>1.825</v>
      </c>
      <c r="I20" s="8">
        <v>8.7660225000000008E-2</v>
      </c>
      <c r="J20" s="8">
        <v>3.7749999999999999</v>
      </c>
      <c r="K20" s="8">
        <v>1.7749999999999999</v>
      </c>
      <c r="L20" s="8">
        <v>3.5570999999999998E-2</v>
      </c>
      <c r="M20" s="8">
        <v>2</v>
      </c>
      <c r="N20" s="8">
        <v>2.4320000000000001E-2</v>
      </c>
      <c r="O20" s="8">
        <v>7.3250000000000002</v>
      </c>
      <c r="P20" s="8">
        <v>0.16847500000000001</v>
      </c>
      <c r="Q20" s="8">
        <f t="shared" ref="Q20:Q33" si="3">P20*W20/(W20+X20)*10</f>
        <v>2.5679214460694703E-2</v>
      </c>
      <c r="R20" s="8">
        <f t="shared" ref="R20:R33" si="4">P20*X20/(W20+X20)*10</f>
        <v>1.6590707855393054</v>
      </c>
      <c r="S20" s="8">
        <v>11.95</v>
      </c>
      <c r="T20" s="8">
        <v>10</v>
      </c>
      <c r="U20" s="27">
        <v>0.65292487500000007</v>
      </c>
      <c r="V20" s="8"/>
      <c r="W20" s="25">
        <v>2.2556450000000002E-2</v>
      </c>
      <c r="X20" s="26">
        <v>1.4573166666666666</v>
      </c>
    </row>
    <row r="21" spans="1:26" s="3" customFormat="1" ht="15.75" x14ac:dyDescent="0.4">
      <c r="A21" s="4"/>
      <c r="B21" s="6" t="s">
        <v>134</v>
      </c>
      <c r="C21" s="4" t="s">
        <v>91</v>
      </c>
      <c r="D21" s="3">
        <v>0.4</v>
      </c>
      <c r="E21" s="3">
        <f>D21*0.06018</f>
        <v>2.4072E-2</v>
      </c>
      <c r="F21" s="3">
        <v>8.9</v>
      </c>
      <c r="G21" s="3">
        <f>F21*0.035457</f>
        <v>0.31556730000000005</v>
      </c>
      <c r="H21" s="8">
        <f>(J21+T21)-S21</f>
        <v>1.4500000000000011</v>
      </c>
      <c r="I21" s="8">
        <f>H21*0.048033</f>
        <v>6.9647850000000053E-2</v>
      </c>
      <c r="J21" s="8">
        <v>3.4</v>
      </c>
      <c r="K21" s="8">
        <v>1.55</v>
      </c>
      <c r="L21" s="8">
        <f>K21*0.02004</f>
        <v>3.1061999999999999E-2</v>
      </c>
      <c r="M21" s="8">
        <f>J21-K21</f>
        <v>1.8499999999999999</v>
      </c>
      <c r="N21" s="8">
        <f>M21*0.01216</f>
        <v>2.2495999999999999E-2</v>
      </c>
      <c r="O21" s="8">
        <f>D21+F21+H21-J21</f>
        <v>7.3500000000000014</v>
      </c>
      <c r="P21" s="8">
        <f>O21*0.023</f>
        <v>0.16905000000000003</v>
      </c>
      <c r="Q21" s="8">
        <f t="shared" si="3"/>
        <v>2.3623870458115551E-2</v>
      </c>
      <c r="R21" s="8">
        <f t="shared" si="4"/>
        <v>1.666876129541885</v>
      </c>
      <c r="S21" s="3">
        <v>11.95</v>
      </c>
      <c r="T21" s="3">
        <v>10</v>
      </c>
      <c r="U21" s="24">
        <f>E21+G21+I21+L21+N21+P21</f>
        <v>0.63189515000000007</v>
      </c>
      <c r="V21" s="8"/>
      <c r="W21" s="25">
        <v>3.33204E-2</v>
      </c>
      <c r="X21" s="26">
        <v>2.3510533333333332</v>
      </c>
    </row>
    <row r="22" spans="1:26" s="3" customFormat="1" ht="15.75" x14ac:dyDescent="0.4">
      <c r="A22" s="4"/>
      <c r="B22" s="6" t="s">
        <v>134</v>
      </c>
      <c r="C22" s="4" t="s">
        <v>92</v>
      </c>
      <c r="D22" s="3">
        <v>0.35</v>
      </c>
      <c r="E22" s="3">
        <f>D22*0.06018</f>
        <v>2.1062999999999998E-2</v>
      </c>
      <c r="F22" s="3">
        <v>8.6</v>
      </c>
      <c r="G22" s="3">
        <f>F22*0.035457</f>
        <v>0.30493019999999998</v>
      </c>
      <c r="H22" s="8">
        <f>(J22+T22)-S22</f>
        <v>1.5500000000000007</v>
      </c>
      <c r="I22" s="8">
        <f>H22*0.048033</f>
        <v>7.4451150000000035E-2</v>
      </c>
      <c r="J22" s="8">
        <v>3.3</v>
      </c>
      <c r="K22" s="8">
        <v>1.45</v>
      </c>
      <c r="L22" s="8">
        <f>K22*0.02004</f>
        <v>2.9057999999999997E-2</v>
      </c>
      <c r="M22" s="8">
        <f>J22-K22</f>
        <v>1.8499999999999999</v>
      </c>
      <c r="N22" s="8">
        <f>M22*0.01216</f>
        <v>2.2495999999999999E-2</v>
      </c>
      <c r="O22" s="8">
        <f>D22+F22+H22-J22</f>
        <v>7.2</v>
      </c>
      <c r="P22" s="8">
        <f>O22*0.023</f>
        <v>0.1656</v>
      </c>
      <c r="Q22" s="8">
        <f t="shared" si="3"/>
        <v>1.9764737838290598E-2</v>
      </c>
      <c r="R22" s="8">
        <f t="shared" si="4"/>
        <v>1.6362352621617093</v>
      </c>
      <c r="S22" s="3">
        <v>11.75</v>
      </c>
      <c r="T22" s="3">
        <v>10</v>
      </c>
      <c r="U22" s="24">
        <f>E22+G22+I22+L22+N22+P22</f>
        <v>0.61759834999999996</v>
      </c>
      <c r="V22" s="8"/>
      <c r="W22" s="25">
        <v>3.3368050000000003E-2</v>
      </c>
      <c r="X22" s="26">
        <v>2.7623933333333337</v>
      </c>
    </row>
    <row r="23" spans="1:26" s="3" customFormat="1" ht="15.75" x14ac:dyDescent="0.4">
      <c r="A23" s="4"/>
      <c r="B23" s="6" t="s">
        <v>134</v>
      </c>
      <c r="C23" s="4" t="s">
        <v>93</v>
      </c>
      <c r="D23" s="3">
        <v>0.35</v>
      </c>
      <c r="E23" s="3">
        <f>D23*0.06018</f>
        <v>2.1062999999999998E-2</v>
      </c>
      <c r="F23" s="3">
        <v>8.1999999999999993</v>
      </c>
      <c r="G23" s="3">
        <f>F23*0.035457</f>
        <v>0.29074739999999999</v>
      </c>
      <c r="H23" s="8">
        <f>(J23+T23)-S23</f>
        <v>1.4000000000000004</v>
      </c>
      <c r="I23" s="8">
        <f>H23*0.048033</f>
        <v>6.724620000000002E-2</v>
      </c>
      <c r="J23" s="8">
        <v>3.1</v>
      </c>
      <c r="K23" s="8">
        <v>1.45</v>
      </c>
      <c r="L23" s="8">
        <f>K23*0.02004</f>
        <v>2.9057999999999997E-2</v>
      </c>
      <c r="M23" s="8">
        <f>J23-K23</f>
        <v>1.6500000000000001</v>
      </c>
      <c r="N23" s="8">
        <f>M23*0.01216</f>
        <v>2.0064000000000002E-2</v>
      </c>
      <c r="O23" s="8">
        <f>D23+F23+H23-J23</f>
        <v>6.85</v>
      </c>
      <c r="P23" s="8">
        <f>O23*0.023</f>
        <v>0.15755</v>
      </c>
      <c r="Q23" s="8">
        <f t="shared" si="3"/>
        <v>1.9716544822764984E-2</v>
      </c>
      <c r="R23" s="8">
        <f t="shared" si="4"/>
        <v>1.5557834551772349</v>
      </c>
      <c r="S23" s="3">
        <v>11.7</v>
      </c>
      <c r="T23" s="3">
        <v>10</v>
      </c>
      <c r="U23" s="24">
        <f>E23+G23+I23+L23+N23+P23</f>
        <v>0.58572860000000004</v>
      </c>
      <c r="V23" s="8"/>
      <c r="W23" s="25">
        <v>3.4963550000000003E-2</v>
      </c>
      <c r="X23" s="26">
        <v>2.7588866666666667</v>
      </c>
    </row>
    <row r="24" spans="1:26" s="3" customFormat="1" ht="15.75" x14ac:dyDescent="0.4">
      <c r="A24" s="4" t="s">
        <v>97</v>
      </c>
      <c r="B24" s="6" t="s">
        <v>134</v>
      </c>
      <c r="C24" s="4" t="s">
        <v>89</v>
      </c>
      <c r="D24" s="3">
        <v>0.35</v>
      </c>
      <c r="E24" s="3">
        <f>D24*0.06018</f>
        <v>2.1062999999999998E-2</v>
      </c>
      <c r="F24" s="3">
        <v>9.5</v>
      </c>
      <c r="G24" s="3">
        <f>F24*0.035457</f>
        <v>0.33684150000000002</v>
      </c>
      <c r="H24" s="3">
        <f>(J24+T24)-S24</f>
        <v>2</v>
      </c>
      <c r="I24" s="8">
        <f>H24*0.048033</f>
        <v>9.6065999999999999E-2</v>
      </c>
      <c r="J24" s="8">
        <v>3.1</v>
      </c>
      <c r="K24" s="8">
        <v>0.9</v>
      </c>
      <c r="L24" s="8">
        <f>K24*0.02004</f>
        <v>1.8036E-2</v>
      </c>
      <c r="M24" s="8">
        <f>J24-K24</f>
        <v>2.2000000000000002</v>
      </c>
      <c r="N24" s="8">
        <f>M24*0.01216</f>
        <v>2.6752000000000005E-2</v>
      </c>
      <c r="O24" s="3">
        <f>D24+F24+H24-J24</f>
        <v>8.75</v>
      </c>
      <c r="P24" s="3">
        <f>O24*0.023</f>
        <v>0.20124999999999998</v>
      </c>
      <c r="Q24" s="8">
        <f t="shared" si="3"/>
        <v>2.2888268372832525E-2</v>
      </c>
      <c r="R24" s="8">
        <f t="shared" si="4"/>
        <v>1.9896117316271675</v>
      </c>
      <c r="S24" s="3">
        <v>11.1</v>
      </c>
      <c r="T24" s="3">
        <v>10</v>
      </c>
      <c r="U24" s="24">
        <f>E24+G24+I24+L24+N24+P24</f>
        <v>0.70000850000000003</v>
      </c>
      <c r="V24" s="8"/>
      <c r="W24" s="25">
        <v>3.4558750000000006E-2</v>
      </c>
      <c r="X24" s="26">
        <v>3.0040933333333335</v>
      </c>
    </row>
    <row r="25" spans="1:26" s="3" customFormat="1" ht="15.75" x14ac:dyDescent="0.4">
      <c r="A25" s="4"/>
      <c r="B25" s="6" t="s">
        <v>134</v>
      </c>
      <c r="C25" s="4" t="s">
        <v>90</v>
      </c>
      <c r="D25" s="8">
        <v>0.375</v>
      </c>
      <c r="E25" s="8">
        <v>2.2567499999999997E-2</v>
      </c>
      <c r="F25" s="8">
        <v>23.55</v>
      </c>
      <c r="G25" s="8">
        <v>0.83501235000000018</v>
      </c>
      <c r="H25" s="8">
        <v>1.8</v>
      </c>
      <c r="I25" s="8">
        <v>8.6459400000000033E-2</v>
      </c>
      <c r="J25" s="8">
        <v>4.6500000000000004</v>
      </c>
      <c r="K25" s="8">
        <v>1.5</v>
      </c>
      <c r="L25" s="8">
        <v>3.006E-2</v>
      </c>
      <c r="M25" s="8">
        <v>3.15</v>
      </c>
      <c r="N25" s="8">
        <v>3.8304000000000005E-2</v>
      </c>
      <c r="O25" s="8">
        <v>21.074999999999999</v>
      </c>
      <c r="P25" s="8">
        <v>0.48472500000000007</v>
      </c>
      <c r="Q25" s="8">
        <f t="shared" si="3"/>
        <v>3.3724901708782208E-2</v>
      </c>
      <c r="R25" s="8">
        <f t="shared" si="4"/>
        <v>4.813525098291219</v>
      </c>
      <c r="S25" s="8">
        <v>12.85</v>
      </c>
      <c r="T25" s="8">
        <v>10</v>
      </c>
      <c r="U25" s="27">
        <v>1.4971282500000003</v>
      </c>
      <c r="V25" s="8"/>
      <c r="W25" s="25">
        <v>5.83727E-2</v>
      </c>
      <c r="X25" s="26">
        <v>8.3314833333333329</v>
      </c>
    </row>
    <row r="26" spans="1:26" s="3" customFormat="1" ht="15.75" x14ac:dyDescent="0.4">
      <c r="A26" s="4"/>
      <c r="B26" s="6" t="s">
        <v>134</v>
      </c>
      <c r="C26" s="4" t="s">
        <v>91</v>
      </c>
      <c r="D26" s="3">
        <v>0.4</v>
      </c>
      <c r="E26" s="3">
        <f>D26*0.06018</f>
        <v>2.4072E-2</v>
      </c>
      <c r="F26" s="3">
        <v>24.4</v>
      </c>
      <c r="G26" s="3">
        <f>F26*0.035457</f>
        <v>0.8651508</v>
      </c>
      <c r="H26" s="3">
        <f>(J26+T26)-S26</f>
        <v>1.25</v>
      </c>
      <c r="I26" s="8">
        <f>H26*0.048033</f>
        <v>6.0041249999999997E-2</v>
      </c>
      <c r="J26" s="8">
        <v>4.8499999999999996</v>
      </c>
      <c r="K26" s="8">
        <v>1.6</v>
      </c>
      <c r="L26" s="8">
        <f>K26*0.02004</f>
        <v>3.2064000000000002E-2</v>
      </c>
      <c r="M26" s="8">
        <f>J26-K26</f>
        <v>3.2499999999999996</v>
      </c>
      <c r="N26" s="8">
        <f>M26*0.01216</f>
        <v>3.952E-2</v>
      </c>
      <c r="O26" s="3">
        <f>D26+F26+H26-J26</f>
        <v>21.199999999999996</v>
      </c>
      <c r="P26" s="3">
        <f>O26*0.023</f>
        <v>0.48759999999999987</v>
      </c>
      <c r="Q26" s="8">
        <f t="shared" si="3"/>
        <v>3.564743442730027E-2</v>
      </c>
      <c r="R26" s="8">
        <f t="shared" si="4"/>
        <v>4.8403525655726991</v>
      </c>
      <c r="S26" s="3">
        <v>13.6</v>
      </c>
      <c r="T26" s="3">
        <v>10</v>
      </c>
      <c r="U26" s="24">
        <f>E26+G26+I26+L26+N26+P26</f>
        <v>1.5084480499999999</v>
      </c>
      <c r="V26" s="8"/>
      <c r="W26" s="25">
        <v>4.8942399999999997E-2</v>
      </c>
      <c r="X26" s="26">
        <v>6.645596666666667</v>
      </c>
    </row>
    <row r="27" spans="1:26" s="3" customFormat="1" ht="15.75" x14ac:dyDescent="0.4">
      <c r="A27" s="4"/>
      <c r="B27" s="6" t="s">
        <v>134</v>
      </c>
      <c r="C27" s="4" t="s">
        <v>92</v>
      </c>
      <c r="D27" s="3">
        <v>0.35</v>
      </c>
      <c r="E27" s="3">
        <f>D27*0.06018</f>
        <v>2.1062999999999998E-2</v>
      </c>
      <c r="F27" s="3">
        <v>21.5</v>
      </c>
      <c r="G27" s="3">
        <f>F27*0.035457</f>
        <v>0.7623255000000001</v>
      </c>
      <c r="H27" s="3">
        <f>(J27+T27)-S27</f>
        <v>1.3000000000000007</v>
      </c>
      <c r="I27" s="8">
        <f>H27*0.048033</f>
        <v>6.244290000000003E-2</v>
      </c>
      <c r="J27" s="8">
        <v>4.5</v>
      </c>
      <c r="K27" s="8">
        <v>1.4</v>
      </c>
      <c r="L27" s="8">
        <f>K27*0.02004</f>
        <v>2.8055999999999998E-2</v>
      </c>
      <c r="M27" s="8">
        <f>J27-K27</f>
        <v>3.1</v>
      </c>
      <c r="N27" s="8">
        <f>M27*0.01216</f>
        <v>3.7696E-2</v>
      </c>
      <c r="O27" s="3">
        <f>D27+F27+H27-J27</f>
        <v>18.650000000000002</v>
      </c>
      <c r="P27" s="3">
        <f>O27*0.023</f>
        <v>0.42895000000000005</v>
      </c>
      <c r="Q27" s="8">
        <f t="shared" si="3"/>
        <v>2.9874198533301335E-2</v>
      </c>
      <c r="R27" s="8">
        <f t="shared" si="4"/>
        <v>4.259625801466699</v>
      </c>
      <c r="S27" s="3">
        <v>13.2</v>
      </c>
      <c r="T27" s="3">
        <v>10</v>
      </c>
      <c r="U27" s="24">
        <f>E27+G27+I27+L27+N27+P27</f>
        <v>1.3405334</v>
      </c>
      <c r="V27" s="8"/>
      <c r="W27" s="25">
        <v>6.0730300000000008E-2</v>
      </c>
      <c r="X27" s="26">
        <v>8.6592566666666659</v>
      </c>
    </row>
    <row r="28" spans="1:26" s="3" customFormat="1" ht="15.75" x14ac:dyDescent="0.4">
      <c r="A28" s="4"/>
      <c r="B28" s="6" t="s">
        <v>134</v>
      </c>
      <c r="C28" s="4" t="s">
        <v>93</v>
      </c>
      <c r="D28" s="3">
        <v>0.4</v>
      </c>
      <c r="E28" s="3">
        <f>D28*0.06018</f>
        <v>2.4072E-2</v>
      </c>
      <c r="F28" s="3">
        <v>20.9</v>
      </c>
      <c r="G28" s="3">
        <f>F28*0.035457</f>
        <v>0.74105129999999997</v>
      </c>
      <c r="H28" s="3">
        <f>(J28+T28)-S28</f>
        <v>1.2999999999999989</v>
      </c>
      <c r="I28" s="8">
        <f>H28*0.048033</f>
        <v>6.2442899999999947E-2</v>
      </c>
      <c r="J28" s="8">
        <v>4.7</v>
      </c>
      <c r="K28" s="8">
        <v>1.4</v>
      </c>
      <c r="L28" s="8">
        <f>K28*0.02004</f>
        <v>2.8055999999999998E-2</v>
      </c>
      <c r="M28" s="8">
        <f>J28-K28</f>
        <v>3.3000000000000003</v>
      </c>
      <c r="N28" s="8">
        <f>M28*0.01216</f>
        <v>4.0128000000000004E-2</v>
      </c>
      <c r="O28" s="3">
        <f>D28+F28+H28-J28</f>
        <v>17.899999999999995</v>
      </c>
      <c r="P28" s="3">
        <f>O28*0.023</f>
        <v>0.4116999999999999</v>
      </c>
      <c r="Q28" s="8">
        <f t="shared" si="3"/>
        <v>3.1688952346276132E-2</v>
      </c>
      <c r="R28" s="8">
        <f t="shared" si="4"/>
        <v>4.0853110476537227</v>
      </c>
      <c r="S28" s="3">
        <v>13.4</v>
      </c>
      <c r="T28" s="3">
        <v>10</v>
      </c>
      <c r="U28" s="24">
        <f>E28+G28+I28+L28+N28+P28</f>
        <v>1.3074501999999999</v>
      </c>
      <c r="V28" s="8"/>
      <c r="W28" s="25">
        <v>6.9993950000000013E-2</v>
      </c>
      <c r="X28" s="26">
        <v>9.023556666666666</v>
      </c>
    </row>
    <row r="29" spans="1:26" ht="15.75" x14ac:dyDescent="0.4">
      <c r="B29" s="6" t="s">
        <v>134</v>
      </c>
      <c r="C29" s="4" t="s">
        <v>89</v>
      </c>
      <c r="D29" s="3">
        <f t="shared" ref="D29:U33" si="5">AVERAGE(D24,D19)</f>
        <v>0.375</v>
      </c>
      <c r="E29" s="3">
        <f t="shared" si="5"/>
        <v>2.2567499999999997E-2</v>
      </c>
      <c r="F29" s="3">
        <f t="shared" si="5"/>
        <v>7.5250000000000004</v>
      </c>
      <c r="G29" s="3">
        <f t="shared" si="5"/>
        <v>0.26681392500000001</v>
      </c>
      <c r="H29" s="3">
        <f t="shared" si="5"/>
        <v>1.7750000000000004</v>
      </c>
      <c r="I29" s="3">
        <f t="shared" si="5"/>
        <v>8.5258575000000017E-2</v>
      </c>
      <c r="J29" s="3">
        <f t="shared" si="5"/>
        <v>2.8250000000000002</v>
      </c>
      <c r="K29" s="3">
        <f t="shared" si="5"/>
        <v>1.1499999999999999</v>
      </c>
      <c r="L29" s="3">
        <f t="shared" si="5"/>
        <v>2.3045999999999997E-2</v>
      </c>
      <c r="M29" s="3">
        <f t="shared" si="5"/>
        <v>1.675</v>
      </c>
      <c r="N29" s="3">
        <f t="shared" si="5"/>
        <v>2.0368000000000004E-2</v>
      </c>
      <c r="O29" s="3">
        <f t="shared" si="5"/>
        <v>6.8500000000000005</v>
      </c>
      <c r="P29" s="3">
        <f t="shared" si="5"/>
        <v>0.15755</v>
      </c>
      <c r="Q29" s="8">
        <f t="shared" si="3"/>
        <v>2.052094775909033E-2</v>
      </c>
      <c r="R29" s="8">
        <f t="shared" si="4"/>
        <v>1.5549790522409097</v>
      </c>
      <c r="S29" s="3"/>
      <c r="T29" s="3"/>
      <c r="U29" s="24">
        <f t="shared" si="5"/>
        <v>0.575604</v>
      </c>
      <c r="V29" s="8"/>
      <c r="W29" s="25">
        <f t="shared" ref="W29:X33" si="6">AVERAGE(W19,W24)</f>
        <v>2.6116700000000003E-2</v>
      </c>
      <c r="X29" s="25">
        <f t="shared" si="6"/>
        <v>1.9789983333333334</v>
      </c>
    </row>
    <row r="30" spans="1:26" ht="15.75" x14ac:dyDescent="0.4">
      <c r="B30" s="6" t="s">
        <v>134</v>
      </c>
      <c r="C30" s="4" t="s">
        <v>90</v>
      </c>
      <c r="D30" s="3">
        <f t="shared" si="5"/>
        <v>0.35</v>
      </c>
      <c r="E30" s="3">
        <f t="shared" si="5"/>
        <v>2.1062999999999998E-2</v>
      </c>
      <c r="F30" s="3">
        <f t="shared" si="5"/>
        <v>16.25</v>
      </c>
      <c r="G30" s="3">
        <f t="shared" si="5"/>
        <v>0.57617625000000006</v>
      </c>
      <c r="H30" s="3">
        <f t="shared" si="5"/>
        <v>1.8125</v>
      </c>
      <c r="I30" s="3">
        <f t="shared" si="5"/>
        <v>8.7059812500000028E-2</v>
      </c>
      <c r="J30" s="3">
        <f t="shared" si="5"/>
        <v>4.2125000000000004</v>
      </c>
      <c r="K30" s="3">
        <f t="shared" si="5"/>
        <v>1.6375</v>
      </c>
      <c r="L30" s="3">
        <f t="shared" si="5"/>
        <v>3.2815499999999997E-2</v>
      </c>
      <c r="M30" s="3">
        <f t="shared" si="5"/>
        <v>2.5750000000000002</v>
      </c>
      <c r="N30" s="3">
        <f t="shared" si="5"/>
        <v>3.1312000000000006E-2</v>
      </c>
      <c r="O30" s="3">
        <f t="shared" si="5"/>
        <v>14.2</v>
      </c>
      <c r="P30" s="3">
        <f t="shared" si="5"/>
        <v>0.32660000000000006</v>
      </c>
      <c r="Q30" s="8">
        <f t="shared" si="3"/>
        <v>2.6780330025571175E-2</v>
      </c>
      <c r="R30" s="8">
        <f t="shared" si="4"/>
        <v>3.2392196699744296</v>
      </c>
      <c r="S30" s="3"/>
      <c r="T30" s="3"/>
      <c r="U30" s="24">
        <f t="shared" si="5"/>
        <v>1.0750265625000002</v>
      </c>
      <c r="V30" s="8"/>
      <c r="W30" s="25">
        <f t="shared" si="6"/>
        <v>4.0464575000000003E-2</v>
      </c>
      <c r="X30" s="25">
        <f t="shared" si="6"/>
        <v>4.8944000000000001</v>
      </c>
    </row>
    <row r="31" spans="1:26" ht="15.75" x14ac:dyDescent="0.4">
      <c r="B31" s="6" t="s">
        <v>134</v>
      </c>
      <c r="C31" s="4" t="s">
        <v>91</v>
      </c>
      <c r="D31" s="3">
        <f t="shared" si="5"/>
        <v>0.4</v>
      </c>
      <c r="E31" s="3">
        <f t="shared" si="5"/>
        <v>2.4072E-2</v>
      </c>
      <c r="F31" s="3">
        <f t="shared" si="5"/>
        <v>16.649999999999999</v>
      </c>
      <c r="G31" s="3">
        <f t="shared" si="5"/>
        <v>0.59035905</v>
      </c>
      <c r="H31" s="3">
        <f t="shared" si="5"/>
        <v>1.3500000000000005</v>
      </c>
      <c r="I31" s="3">
        <f t="shared" si="5"/>
        <v>6.4844550000000029E-2</v>
      </c>
      <c r="J31" s="3">
        <f t="shared" si="5"/>
        <v>4.125</v>
      </c>
      <c r="K31" s="3">
        <f t="shared" si="5"/>
        <v>1.5750000000000002</v>
      </c>
      <c r="L31" s="3">
        <f t="shared" si="5"/>
        <v>3.1563000000000001E-2</v>
      </c>
      <c r="M31" s="3">
        <f t="shared" si="5"/>
        <v>2.5499999999999998</v>
      </c>
      <c r="N31" s="3">
        <f t="shared" si="5"/>
        <v>3.1008000000000001E-2</v>
      </c>
      <c r="O31" s="3">
        <f t="shared" si="5"/>
        <v>14.274999999999999</v>
      </c>
      <c r="P31" s="3">
        <f t="shared" si="5"/>
        <v>0.32832499999999998</v>
      </c>
      <c r="Q31" s="8">
        <f t="shared" si="3"/>
        <v>2.9749083844047928E-2</v>
      </c>
      <c r="R31" s="8">
        <f t="shared" si="4"/>
        <v>3.2535009161559514</v>
      </c>
      <c r="S31" s="3"/>
      <c r="T31" s="3"/>
      <c r="U31" s="24">
        <f t="shared" si="5"/>
        <v>1.0701716000000001</v>
      </c>
      <c r="V31" s="8"/>
      <c r="W31" s="25">
        <f t="shared" si="6"/>
        <v>4.1131399999999999E-2</v>
      </c>
      <c r="X31" s="25">
        <f t="shared" si="6"/>
        <v>4.4983250000000004</v>
      </c>
    </row>
    <row r="32" spans="1:26" ht="15.75" x14ac:dyDescent="0.4">
      <c r="B32" s="6" t="s">
        <v>134</v>
      </c>
      <c r="C32" s="4" t="s">
        <v>92</v>
      </c>
      <c r="D32" s="3">
        <f t="shared" si="5"/>
        <v>0.35</v>
      </c>
      <c r="E32" s="3">
        <f t="shared" si="5"/>
        <v>2.1062999999999998E-2</v>
      </c>
      <c r="F32" s="3">
        <f t="shared" si="5"/>
        <v>15.05</v>
      </c>
      <c r="G32" s="3">
        <f t="shared" si="5"/>
        <v>0.53362785000000001</v>
      </c>
      <c r="H32" s="3">
        <f t="shared" si="5"/>
        <v>1.4250000000000007</v>
      </c>
      <c r="I32" s="3">
        <f t="shared" si="5"/>
        <v>6.8447025000000036E-2</v>
      </c>
      <c r="J32" s="3">
        <f t="shared" si="5"/>
        <v>3.9</v>
      </c>
      <c r="K32" s="3">
        <f t="shared" si="5"/>
        <v>1.4249999999999998</v>
      </c>
      <c r="L32" s="3">
        <f t="shared" si="5"/>
        <v>2.8556999999999999E-2</v>
      </c>
      <c r="M32" s="3">
        <f t="shared" si="5"/>
        <v>2.4750000000000001</v>
      </c>
      <c r="N32" s="3">
        <f t="shared" si="5"/>
        <v>3.0095999999999998E-2</v>
      </c>
      <c r="O32" s="3">
        <f t="shared" si="5"/>
        <v>12.925000000000001</v>
      </c>
      <c r="P32" s="3">
        <f t="shared" si="5"/>
        <v>0.29727500000000001</v>
      </c>
      <c r="Q32" s="8">
        <f t="shared" si="3"/>
        <v>2.4291158634297535E-2</v>
      </c>
      <c r="R32" s="8">
        <f t="shared" si="4"/>
        <v>2.9484588413657029</v>
      </c>
      <c r="S32" s="3"/>
      <c r="T32" s="3"/>
      <c r="U32" s="24">
        <f t="shared" si="5"/>
        <v>0.97906587499999997</v>
      </c>
      <c r="V32" s="8"/>
      <c r="W32" s="25">
        <f t="shared" si="6"/>
        <v>4.7049175000000006E-2</v>
      </c>
      <c r="X32" s="25">
        <f t="shared" si="6"/>
        <v>5.7108249999999998</v>
      </c>
    </row>
    <row r="33" spans="1:26" ht="15.75" x14ac:dyDescent="0.4">
      <c r="B33" s="6" t="s">
        <v>134</v>
      </c>
      <c r="C33" s="4" t="s">
        <v>93</v>
      </c>
      <c r="D33" s="3">
        <f t="shared" si="5"/>
        <v>0.375</v>
      </c>
      <c r="E33" s="3">
        <f t="shared" si="5"/>
        <v>2.2567499999999997E-2</v>
      </c>
      <c r="F33" s="3">
        <f t="shared" si="5"/>
        <v>14.549999999999999</v>
      </c>
      <c r="G33" s="3">
        <f t="shared" si="5"/>
        <v>0.51589934999999998</v>
      </c>
      <c r="H33" s="3">
        <f t="shared" si="5"/>
        <v>1.3499999999999996</v>
      </c>
      <c r="I33" s="3">
        <f t="shared" si="5"/>
        <v>6.4844549999999987E-2</v>
      </c>
      <c r="J33" s="3">
        <f t="shared" si="5"/>
        <v>3.9000000000000004</v>
      </c>
      <c r="K33" s="3">
        <f t="shared" si="5"/>
        <v>1.4249999999999998</v>
      </c>
      <c r="L33" s="3">
        <f t="shared" si="5"/>
        <v>2.8556999999999999E-2</v>
      </c>
      <c r="M33" s="3">
        <f t="shared" si="5"/>
        <v>2.4750000000000001</v>
      </c>
      <c r="N33" s="3">
        <f t="shared" si="5"/>
        <v>3.0096000000000005E-2</v>
      </c>
      <c r="O33" s="3">
        <f t="shared" si="5"/>
        <v>12.374999999999996</v>
      </c>
      <c r="P33" s="3">
        <f t="shared" si="5"/>
        <v>0.28462499999999996</v>
      </c>
      <c r="Q33" s="8">
        <f t="shared" si="3"/>
        <v>2.5130412321701105E-2</v>
      </c>
      <c r="R33" s="8">
        <f t="shared" si="4"/>
        <v>2.8211195876782984</v>
      </c>
      <c r="S33" s="3"/>
      <c r="T33" s="3"/>
      <c r="U33" s="24">
        <f t="shared" si="5"/>
        <v>0.94658939999999991</v>
      </c>
      <c r="V33" s="8"/>
      <c r="W33" s="25">
        <f t="shared" si="6"/>
        <v>5.2478750000000005E-2</v>
      </c>
      <c r="X33" s="25">
        <f t="shared" si="6"/>
        <v>5.8912216666666666</v>
      </c>
    </row>
    <row r="34" spans="1:26" ht="15.75" x14ac:dyDescent="0.4">
      <c r="V34" s="8"/>
    </row>
    <row r="35" spans="1:26" s="3" customFormat="1" ht="15.75" x14ac:dyDescent="0.4">
      <c r="A35" s="4" t="s">
        <v>98</v>
      </c>
      <c r="B35" s="6" t="s">
        <v>135</v>
      </c>
      <c r="C35" s="4" t="s">
        <v>89</v>
      </c>
      <c r="D35" s="3">
        <v>0.3</v>
      </c>
      <c r="E35" s="3">
        <f>D35*0.06018</f>
        <v>1.8053999999999997E-2</v>
      </c>
      <c r="F35" s="3">
        <v>6.8</v>
      </c>
      <c r="G35" s="3">
        <f>F35*0.035457</f>
        <v>0.24110760000000001</v>
      </c>
      <c r="H35" s="8">
        <f>(J35+T35)-S35</f>
        <v>1.8000000000000007</v>
      </c>
      <c r="I35" s="8">
        <f>H35*0.048033</f>
        <v>8.6459400000000033E-2</v>
      </c>
      <c r="J35" s="8">
        <v>2.4</v>
      </c>
      <c r="K35" s="8">
        <v>0.75</v>
      </c>
      <c r="L35" s="8">
        <f>K35*0.02004</f>
        <v>1.5029999999999998E-2</v>
      </c>
      <c r="M35" s="8">
        <f>J35-K35</f>
        <v>1.65</v>
      </c>
      <c r="N35" s="8">
        <f>M35*0.01216</f>
        <v>2.0063999999999999E-2</v>
      </c>
      <c r="O35" s="8">
        <f>D35+F35+H35-J35</f>
        <v>6.5</v>
      </c>
      <c r="P35" s="8">
        <f>O35*0.023</f>
        <v>0.14949999999999999</v>
      </c>
      <c r="Q35" s="8">
        <f>P35*W35/(W35+X35)*10</f>
        <v>1.9653073813983908E-2</v>
      </c>
      <c r="R35" s="8">
        <f>P35*X35/(W35+X35)*10</f>
        <v>1.4753469261860161</v>
      </c>
      <c r="S35" s="3">
        <v>5.6</v>
      </c>
      <c r="T35" s="3">
        <v>5</v>
      </c>
      <c r="U35" s="24">
        <f>E35+G35+I35+L35+N35+P35</f>
        <v>0.53021499999999999</v>
      </c>
      <c r="V35" s="8"/>
      <c r="W35" s="25">
        <v>3.8630899999999996E-2</v>
      </c>
      <c r="X35" s="26">
        <v>2.9000033333333328</v>
      </c>
      <c r="Z35" s="3">
        <f>+W35/X35</f>
        <v>1.3320984688523347E-2</v>
      </c>
    </row>
    <row r="36" spans="1:26" s="3" customFormat="1" ht="15.75" x14ac:dyDescent="0.4">
      <c r="A36" s="4"/>
      <c r="B36" s="6" t="s">
        <v>135</v>
      </c>
      <c r="C36" s="4" t="s">
        <v>90</v>
      </c>
      <c r="D36" s="8">
        <v>0.42499999999999999</v>
      </c>
      <c r="E36" s="8">
        <v>2.5576500000000002E-2</v>
      </c>
      <c r="F36" s="8">
        <v>13.05</v>
      </c>
      <c r="G36" s="8">
        <v>0.46271385000000004</v>
      </c>
      <c r="H36" s="8">
        <v>1.375</v>
      </c>
      <c r="I36" s="8">
        <v>6.6045375000000003E-2</v>
      </c>
      <c r="J36" s="8">
        <v>2.9249999999999998</v>
      </c>
      <c r="K36" s="8">
        <v>0.8</v>
      </c>
      <c r="L36" s="8">
        <v>1.6032000000000001E-2</v>
      </c>
      <c r="M36" s="8">
        <v>2.125</v>
      </c>
      <c r="N36" s="8">
        <v>2.5840000000000002E-2</v>
      </c>
      <c r="O36" s="8">
        <v>11.925000000000001</v>
      </c>
      <c r="P36" s="8">
        <v>0.27427500000000005</v>
      </c>
      <c r="Q36" s="8">
        <f t="shared" ref="Q36:Q49" si="7">P36*W36/(W36+X36)*10</f>
        <v>2.8562029142850866E-2</v>
      </c>
      <c r="R36" s="8">
        <f t="shared" ref="R36:R49" si="8">P36*X36/(W36+X36)*10</f>
        <v>2.7141879708571497</v>
      </c>
      <c r="S36" s="8">
        <v>6.55</v>
      </c>
      <c r="T36" s="8">
        <v>5</v>
      </c>
      <c r="U36" s="27">
        <v>0.87048272500000012</v>
      </c>
      <c r="V36" s="8"/>
      <c r="W36" s="25">
        <v>4.2107799999999994E-2</v>
      </c>
      <c r="X36" s="26">
        <v>4.0014133333333328</v>
      </c>
      <c r="Z36" s="3">
        <f t="shared" ref="Z36:Z49" si="9">+W36/X36</f>
        <v>1.0523231791433694E-2</v>
      </c>
    </row>
    <row r="37" spans="1:26" s="3" customFormat="1" ht="15.75" x14ac:dyDescent="0.4">
      <c r="A37" s="4"/>
      <c r="B37" s="6" t="s">
        <v>135</v>
      </c>
      <c r="C37" s="4" t="s">
        <v>91</v>
      </c>
      <c r="D37" s="3">
        <v>0.35</v>
      </c>
      <c r="E37" s="3">
        <f>D37*0.06018</f>
        <v>2.1062999999999998E-2</v>
      </c>
      <c r="F37" s="3">
        <v>13.8</v>
      </c>
      <c r="G37" s="3">
        <f>F37*0.035457</f>
        <v>0.48930660000000004</v>
      </c>
      <c r="H37" s="8">
        <f>(J37+T37)-S37</f>
        <v>1</v>
      </c>
      <c r="I37" s="8">
        <f>H37*0.048033</f>
        <v>4.8032999999999999E-2</v>
      </c>
      <c r="J37" s="8">
        <v>3</v>
      </c>
      <c r="K37" s="8">
        <v>0.85</v>
      </c>
      <c r="L37" s="8">
        <f>K37*0.02004</f>
        <v>1.7033999999999997E-2</v>
      </c>
      <c r="M37" s="8">
        <f>J37-K37</f>
        <v>2.15</v>
      </c>
      <c r="N37" s="8">
        <f>M37*0.01216</f>
        <v>2.6144000000000001E-2</v>
      </c>
      <c r="O37" s="8">
        <f>D37+F37+H37-J37</f>
        <v>12.15</v>
      </c>
      <c r="P37" s="8">
        <f>O37*0.023</f>
        <v>0.27944999999999998</v>
      </c>
      <c r="Q37" s="8">
        <f t="shared" si="7"/>
        <v>2.6382764707313204E-2</v>
      </c>
      <c r="R37" s="8">
        <f t="shared" si="8"/>
        <v>2.7681172352926868</v>
      </c>
      <c r="S37" s="3">
        <v>7</v>
      </c>
      <c r="T37" s="3">
        <v>5</v>
      </c>
      <c r="U37" s="24">
        <f>E37+G37+I37+L37+N37+P37</f>
        <v>0.88103059999999989</v>
      </c>
      <c r="V37" s="8"/>
      <c r="W37" s="25">
        <v>5.7610699999999994E-2</v>
      </c>
      <c r="X37" s="26">
        <v>6.0445966666666671</v>
      </c>
      <c r="Z37" s="3">
        <f t="shared" si="9"/>
        <v>9.5309419597337328E-3</v>
      </c>
    </row>
    <row r="38" spans="1:26" s="3" customFormat="1" ht="15.75" x14ac:dyDescent="0.4">
      <c r="A38" s="4"/>
      <c r="B38" s="6" t="s">
        <v>135</v>
      </c>
      <c r="C38" s="4" t="s">
        <v>92</v>
      </c>
      <c r="D38" s="3">
        <v>0.35</v>
      </c>
      <c r="E38" s="3">
        <f>D38*0.06018</f>
        <v>2.1062999999999998E-2</v>
      </c>
      <c r="F38" s="3">
        <v>13.2</v>
      </c>
      <c r="G38" s="3">
        <f>F38*0.035457</f>
        <v>0.46803240000000002</v>
      </c>
      <c r="H38" s="8">
        <f>(J38+T38)-S38</f>
        <v>1.3500000000000005</v>
      </c>
      <c r="I38" s="8">
        <f>H38*0.048033</f>
        <v>6.4844550000000029E-2</v>
      </c>
      <c r="J38" s="8">
        <v>3.05</v>
      </c>
      <c r="K38" s="8">
        <v>0.75</v>
      </c>
      <c r="L38" s="8">
        <f>K38*0.02004</f>
        <v>1.5029999999999998E-2</v>
      </c>
      <c r="M38" s="8">
        <f>J38-K38</f>
        <v>2.2999999999999998</v>
      </c>
      <c r="N38" s="8">
        <f>M38*0.01216</f>
        <v>2.7968E-2</v>
      </c>
      <c r="O38" s="8">
        <f>D38+F38+H38-J38</f>
        <v>11.849999999999998</v>
      </c>
      <c r="P38" s="8">
        <f>O38*0.023</f>
        <v>0.27254999999999996</v>
      </c>
      <c r="Q38" s="8">
        <f t="shared" si="7"/>
        <v>2.5587922814479309E-2</v>
      </c>
      <c r="R38" s="8">
        <f t="shared" si="8"/>
        <v>2.6999120771855201</v>
      </c>
      <c r="S38" s="3">
        <v>6.7</v>
      </c>
      <c r="T38" s="3">
        <v>5</v>
      </c>
      <c r="U38" s="24">
        <f>E38+G38+I38+L38+N38+P38</f>
        <v>0.86948795000000001</v>
      </c>
      <c r="V38" s="8"/>
      <c r="W38" s="25">
        <v>6.6159950000000009E-2</v>
      </c>
      <c r="X38" s="26">
        <v>6.9808733333333324</v>
      </c>
      <c r="Z38" s="3">
        <f t="shared" si="9"/>
        <v>9.4773170692110179E-3</v>
      </c>
    </row>
    <row r="39" spans="1:26" s="3" customFormat="1" ht="15.75" x14ac:dyDescent="0.4">
      <c r="A39" s="4"/>
      <c r="B39" s="6" t="s">
        <v>135</v>
      </c>
      <c r="C39" s="4" t="s">
        <v>93</v>
      </c>
      <c r="D39" s="3">
        <v>0.3</v>
      </c>
      <c r="E39" s="3">
        <f>D39*0.06018</f>
        <v>1.8053999999999997E-2</v>
      </c>
      <c r="F39" s="3">
        <v>13.2</v>
      </c>
      <c r="G39" s="3">
        <f>F39*0.035457</f>
        <v>0.46803240000000002</v>
      </c>
      <c r="H39" s="8">
        <f>(J39+T39)-S39</f>
        <v>1.0999999999999996</v>
      </c>
      <c r="I39" s="8">
        <f>H39*0.048033</f>
        <v>5.2836299999999982E-2</v>
      </c>
      <c r="J39" s="8">
        <v>3.1</v>
      </c>
      <c r="K39" s="8">
        <v>0.9</v>
      </c>
      <c r="L39" s="8">
        <f>K39*0.02004</f>
        <v>1.8036E-2</v>
      </c>
      <c r="M39" s="8">
        <f>J39-K39</f>
        <v>2.2000000000000002</v>
      </c>
      <c r="N39" s="8">
        <f>M39*0.01216</f>
        <v>2.6752000000000005E-2</v>
      </c>
      <c r="O39" s="8">
        <f>D39+F39+H39-J39</f>
        <v>11.5</v>
      </c>
      <c r="P39" s="8">
        <f>O39*0.023</f>
        <v>0.26450000000000001</v>
      </c>
      <c r="Q39" s="8">
        <f t="shared" si="7"/>
        <v>2.5347307956274052E-2</v>
      </c>
      <c r="R39" s="8">
        <f t="shared" si="8"/>
        <v>2.6196526920437262</v>
      </c>
      <c r="S39" s="3">
        <v>7</v>
      </c>
      <c r="T39" s="3">
        <v>5</v>
      </c>
      <c r="U39" s="24">
        <f>E39+G39+I39+L39+N39+P39</f>
        <v>0.8482107000000001</v>
      </c>
      <c r="V39" s="8"/>
      <c r="W39" s="25">
        <v>6.0563649999999997E-2</v>
      </c>
      <c r="X39" s="26">
        <v>6.2592733333333328</v>
      </c>
      <c r="Z39" s="3">
        <f t="shared" si="9"/>
        <v>9.6758276519851617E-3</v>
      </c>
    </row>
    <row r="40" spans="1:26" s="3" customFormat="1" ht="15.75" x14ac:dyDescent="0.4">
      <c r="A40" s="4" t="s">
        <v>99</v>
      </c>
      <c r="B40" s="6" t="s">
        <v>135</v>
      </c>
      <c r="C40" s="4" t="s">
        <v>89</v>
      </c>
      <c r="D40" s="3">
        <v>0.35</v>
      </c>
      <c r="E40" s="3">
        <f>D40*0.06018</f>
        <v>2.1062999999999998E-2</v>
      </c>
      <c r="F40" s="3">
        <v>8.5500000000000007</v>
      </c>
      <c r="G40" s="3">
        <f>F40*0.035457</f>
        <v>0.30315735000000005</v>
      </c>
      <c r="H40" s="8">
        <f>(J40+T40)-S40</f>
        <v>1.0499999999999998</v>
      </c>
      <c r="I40" s="8">
        <f>H40*0.048033</f>
        <v>5.0434649999999991E-2</v>
      </c>
      <c r="J40" s="8">
        <v>2.2000000000000002</v>
      </c>
      <c r="K40" s="8">
        <v>0.9</v>
      </c>
      <c r="L40" s="8">
        <f>K40*0.02004</f>
        <v>1.8036E-2</v>
      </c>
      <c r="M40" s="8">
        <f>J40-K40</f>
        <v>1.3000000000000003</v>
      </c>
      <c r="N40" s="8">
        <f>M40*0.01216</f>
        <v>1.5808000000000003E-2</v>
      </c>
      <c r="O40" s="8">
        <f>D40+F40+H40-J40</f>
        <v>7.7499999999999991</v>
      </c>
      <c r="P40" s="8">
        <f>O40*0.023</f>
        <v>0.17824999999999996</v>
      </c>
      <c r="Q40" s="8">
        <f t="shared" si="7"/>
        <v>3.5380303614430654E-2</v>
      </c>
      <c r="R40" s="8">
        <f t="shared" si="8"/>
        <v>1.7471196963855689</v>
      </c>
      <c r="S40" s="3">
        <v>6.15</v>
      </c>
      <c r="T40" s="3">
        <v>5</v>
      </c>
      <c r="U40" s="24">
        <f>E40+G40+I40+L40+N40+P40</f>
        <v>0.58674899999999997</v>
      </c>
      <c r="V40" s="8"/>
      <c r="W40" s="25">
        <v>4.3060299999999996E-2</v>
      </c>
      <c r="X40" s="26">
        <v>2.1263666666666663</v>
      </c>
      <c r="Z40" s="3">
        <f t="shared" si="9"/>
        <v>2.0250646642943362E-2</v>
      </c>
    </row>
    <row r="41" spans="1:26" s="3" customFormat="1" ht="15.75" x14ac:dyDescent="0.4">
      <c r="A41" s="4"/>
      <c r="B41" s="6" t="s">
        <v>135</v>
      </c>
      <c r="C41" s="4" t="s">
        <v>90</v>
      </c>
      <c r="D41" s="8">
        <v>0.45</v>
      </c>
      <c r="E41" s="8">
        <v>2.7081000000000001E-2</v>
      </c>
      <c r="F41" s="8">
        <v>14.25</v>
      </c>
      <c r="G41" s="8">
        <v>0.50526225000000002</v>
      </c>
      <c r="H41" s="8">
        <v>1.5249999999999999</v>
      </c>
      <c r="I41" s="8">
        <v>7.3250325000000019E-2</v>
      </c>
      <c r="J41" s="8">
        <v>2.85</v>
      </c>
      <c r="K41" s="8">
        <v>0.9</v>
      </c>
      <c r="L41" s="8">
        <v>1.8035999999999996E-2</v>
      </c>
      <c r="M41" s="8">
        <v>1.95</v>
      </c>
      <c r="N41" s="8">
        <v>2.3711999999999997E-2</v>
      </c>
      <c r="O41" s="8">
        <v>13.375</v>
      </c>
      <c r="P41" s="8">
        <v>0.30762499999999993</v>
      </c>
      <c r="Q41" s="8">
        <f t="shared" si="7"/>
        <v>9.615100764383902E-2</v>
      </c>
      <c r="R41" s="8">
        <f t="shared" si="8"/>
        <v>2.9800989923561607</v>
      </c>
      <c r="S41" s="8">
        <v>6.3250000000000002</v>
      </c>
      <c r="T41" s="8">
        <v>5</v>
      </c>
      <c r="U41" s="27">
        <v>0.95496657499999993</v>
      </c>
      <c r="V41" s="8"/>
      <c r="W41" s="25">
        <v>0.18932579999999999</v>
      </c>
      <c r="X41" s="26">
        <v>5.8679533333333325</v>
      </c>
      <c r="Z41" s="3">
        <f t="shared" si="9"/>
        <v>3.2264367019505955E-2</v>
      </c>
    </row>
    <row r="42" spans="1:26" s="3" customFormat="1" ht="15.75" x14ac:dyDescent="0.4">
      <c r="A42" s="4"/>
      <c r="B42" s="6" t="s">
        <v>135</v>
      </c>
      <c r="C42" s="4" t="s">
        <v>91</v>
      </c>
      <c r="D42" s="3">
        <v>0.35</v>
      </c>
      <c r="E42" s="3">
        <f>D42*0.06018</f>
        <v>2.1062999999999998E-2</v>
      </c>
      <c r="F42" s="3">
        <v>15.1</v>
      </c>
      <c r="G42" s="3">
        <f>F42*0.035457</f>
        <v>0.53540070000000006</v>
      </c>
      <c r="H42" s="8">
        <f>(J42+T42)-S42</f>
        <v>1.4500000000000002</v>
      </c>
      <c r="I42" s="8">
        <f>H42*0.048033</f>
        <v>6.9647850000000011E-2</v>
      </c>
      <c r="J42" s="8">
        <v>3.15</v>
      </c>
      <c r="K42" s="8">
        <v>0.95</v>
      </c>
      <c r="L42" s="8">
        <f>K42*0.02004</f>
        <v>1.9037999999999999E-2</v>
      </c>
      <c r="M42" s="8">
        <f>J42-K42</f>
        <v>2.2000000000000002</v>
      </c>
      <c r="N42" s="8">
        <f>M42*0.01216</f>
        <v>2.6752000000000005E-2</v>
      </c>
      <c r="O42" s="8">
        <f>D42+F42+H42-J42</f>
        <v>13.749999999999998</v>
      </c>
      <c r="P42" s="8">
        <f>O42*0.023</f>
        <v>0.31624999999999998</v>
      </c>
      <c r="Q42" s="8">
        <f t="shared" si="7"/>
        <v>3.923331980651986E-2</v>
      </c>
      <c r="R42" s="8">
        <f t="shared" si="8"/>
        <v>3.1232666801934799</v>
      </c>
      <c r="S42" s="3">
        <v>6.7</v>
      </c>
      <c r="T42" s="3">
        <v>5</v>
      </c>
      <c r="U42" s="24">
        <f>E42+G42+I42+L42+N42+P42</f>
        <v>0.98815154999999999</v>
      </c>
      <c r="V42" s="8"/>
      <c r="W42" s="25">
        <v>6.4778650000000007E-2</v>
      </c>
      <c r="X42" s="26">
        <v>5.1568666666666667</v>
      </c>
      <c r="Z42" s="3">
        <f t="shared" si="9"/>
        <v>1.2561629801041977E-2</v>
      </c>
    </row>
    <row r="43" spans="1:26" s="3" customFormat="1" ht="15.75" x14ac:dyDescent="0.4">
      <c r="A43" s="4"/>
      <c r="B43" s="6" t="s">
        <v>135</v>
      </c>
      <c r="C43" s="4" t="s">
        <v>92</v>
      </c>
      <c r="D43" s="3">
        <v>0.45</v>
      </c>
      <c r="E43" s="3">
        <f>D43*0.06018</f>
        <v>2.7081000000000001E-2</v>
      </c>
      <c r="F43" s="3">
        <v>15.35</v>
      </c>
      <c r="G43" s="3">
        <f>F43*0.035457</f>
        <v>0.54426494999999997</v>
      </c>
      <c r="H43" s="8">
        <f>(J43+T43)-S43</f>
        <v>1.3499999999999996</v>
      </c>
      <c r="I43" s="8">
        <f>H43*0.048033</f>
        <v>6.4844549999999987E-2</v>
      </c>
      <c r="J43" s="8">
        <v>3</v>
      </c>
      <c r="K43" s="8">
        <v>0.9</v>
      </c>
      <c r="L43" s="8">
        <f>K43*0.02004</f>
        <v>1.8036E-2</v>
      </c>
      <c r="M43" s="8">
        <f>J43-K43</f>
        <v>2.1</v>
      </c>
      <c r="N43" s="8">
        <f>M43*0.01216</f>
        <v>2.5536000000000003E-2</v>
      </c>
      <c r="O43" s="8">
        <f>D43+F43+H43-J43</f>
        <v>14.149999999999999</v>
      </c>
      <c r="P43" s="8">
        <f>O43*0.023</f>
        <v>0.32544999999999996</v>
      </c>
      <c r="Q43" s="8">
        <f t="shared" si="7"/>
        <v>3.4827913277096632E-2</v>
      </c>
      <c r="R43" s="8">
        <f t="shared" si="8"/>
        <v>3.2196720867229036</v>
      </c>
      <c r="S43" s="3">
        <v>6.65</v>
      </c>
      <c r="T43" s="3">
        <v>5</v>
      </c>
      <c r="U43" s="24">
        <f>E43+G43+I43+L43+N43+P43</f>
        <v>1.0052125000000001</v>
      </c>
      <c r="V43" s="8"/>
      <c r="W43" s="25">
        <v>8.0948350000000002E-2</v>
      </c>
      <c r="X43" s="26">
        <v>7.4832833333333326</v>
      </c>
      <c r="Z43" s="3">
        <f t="shared" si="9"/>
        <v>1.0817223723098374E-2</v>
      </c>
    </row>
    <row r="44" spans="1:26" s="3" customFormat="1" ht="15.75" x14ac:dyDescent="0.4">
      <c r="A44" s="4"/>
      <c r="B44" s="6" t="s">
        <v>135</v>
      </c>
      <c r="C44" s="4" t="s">
        <v>93</v>
      </c>
      <c r="D44" s="3">
        <v>0.45</v>
      </c>
      <c r="E44" s="3">
        <f>D44*0.06018</f>
        <v>2.7081000000000001E-2</v>
      </c>
      <c r="F44" s="3">
        <v>15.2</v>
      </c>
      <c r="G44" s="3">
        <f>F44*0.035457</f>
        <v>0.53894640000000005</v>
      </c>
      <c r="H44" s="8">
        <f>(J44+T44)-S44</f>
        <v>1.5</v>
      </c>
      <c r="I44" s="8">
        <f>H44*0.048033</f>
        <v>7.2049500000000002E-2</v>
      </c>
      <c r="J44" s="8">
        <v>3.15</v>
      </c>
      <c r="K44" s="8">
        <v>0.9</v>
      </c>
      <c r="L44" s="8">
        <f>K44*0.02004</f>
        <v>1.8036E-2</v>
      </c>
      <c r="M44" s="8">
        <f>J44-K44</f>
        <v>2.25</v>
      </c>
      <c r="N44" s="8">
        <f>M44*0.01216</f>
        <v>2.7360000000000002E-2</v>
      </c>
      <c r="O44" s="8">
        <f>D44+F44+H44-J44</f>
        <v>13.999999999999998</v>
      </c>
      <c r="P44" s="8">
        <f>O44*0.023</f>
        <v>0.32199999999999995</v>
      </c>
      <c r="Q44" s="8">
        <f t="shared" si="7"/>
        <v>3.6715478715212004E-2</v>
      </c>
      <c r="R44" s="8">
        <f t="shared" si="8"/>
        <v>3.1832845212847878</v>
      </c>
      <c r="S44" s="3">
        <v>6.65</v>
      </c>
      <c r="T44" s="3">
        <v>5</v>
      </c>
      <c r="U44" s="24">
        <f>E44+G44+I44+L44+N44+P44</f>
        <v>1.0054729</v>
      </c>
      <c r="V44" s="8"/>
      <c r="W44" s="25">
        <v>2.4652150000000001E-2</v>
      </c>
      <c r="X44" s="26">
        <v>2.1373766666666665</v>
      </c>
      <c r="Z44" s="3">
        <f t="shared" si="9"/>
        <v>1.1533835090679697E-2</v>
      </c>
    </row>
    <row r="45" spans="1:26" s="3" customFormat="1" ht="15.75" x14ac:dyDescent="0.4">
      <c r="A45" s="4" t="s">
        <v>100</v>
      </c>
      <c r="B45" s="6" t="s">
        <v>135</v>
      </c>
      <c r="C45" s="4" t="s">
        <v>89</v>
      </c>
      <c r="D45" s="3">
        <v>0.35</v>
      </c>
      <c r="E45" s="3">
        <f>D45*0.06018</f>
        <v>2.1062999999999998E-2</v>
      </c>
      <c r="F45" s="3">
        <v>11.6</v>
      </c>
      <c r="G45" s="3">
        <f>F45*0.035457</f>
        <v>0.41130120000000003</v>
      </c>
      <c r="H45" s="3">
        <f>(J45+T45)-S45</f>
        <v>2.75</v>
      </c>
      <c r="I45" s="8">
        <f>H45*0.048033</f>
        <v>0.13209075000000001</v>
      </c>
      <c r="J45" s="8">
        <v>4.25</v>
      </c>
      <c r="K45" s="8">
        <v>1.3</v>
      </c>
      <c r="L45" s="8">
        <f>K45*0.02004</f>
        <v>2.6051999999999999E-2</v>
      </c>
      <c r="M45" s="8">
        <f>J45-K45</f>
        <v>2.95</v>
      </c>
      <c r="N45" s="8">
        <f>M45*0.01216</f>
        <v>3.5872000000000001E-2</v>
      </c>
      <c r="O45" s="3">
        <f>D45+F45+H45-J45</f>
        <v>10.45</v>
      </c>
      <c r="P45" s="3">
        <f>O45*0.023</f>
        <v>0.24034999999999998</v>
      </c>
      <c r="Q45" s="8">
        <f t="shared" si="7"/>
        <v>2.6725959803907309E-2</v>
      </c>
      <c r="R45" s="8">
        <f t="shared" si="8"/>
        <v>2.3767740401960924</v>
      </c>
      <c r="S45" s="3">
        <v>11.5</v>
      </c>
      <c r="T45" s="3">
        <v>10</v>
      </c>
      <c r="U45" s="24">
        <f>E45+G45+I45+L45+N45+P45</f>
        <v>0.86672894999999994</v>
      </c>
      <c r="V45" s="8"/>
      <c r="W45" s="25">
        <v>7.2065749999999998E-2</v>
      </c>
      <c r="X45" s="26">
        <v>6.4089</v>
      </c>
      <c r="Z45" s="3">
        <f t="shared" si="9"/>
        <v>1.1244636365054845E-2</v>
      </c>
    </row>
    <row r="46" spans="1:26" s="3" customFormat="1" ht="15.75" x14ac:dyDescent="0.4">
      <c r="A46" s="4"/>
      <c r="B46" s="6" t="s">
        <v>135</v>
      </c>
      <c r="C46" s="4" t="s">
        <v>90</v>
      </c>
      <c r="D46" s="8">
        <v>0.42499999999999999</v>
      </c>
      <c r="E46" s="8">
        <v>2.5576500000000002E-2</v>
      </c>
      <c r="F46" s="8">
        <v>28.25</v>
      </c>
      <c r="G46" s="8">
        <v>1.00166025</v>
      </c>
      <c r="H46" s="8">
        <v>2.65</v>
      </c>
      <c r="I46" s="8">
        <v>0.12728745000000002</v>
      </c>
      <c r="J46" s="8">
        <v>5.65</v>
      </c>
      <c r="K46" s="8">
        <v>1.375</v>
      </c>
      <c r="L46" s="8">
        <v>2.7554999999999996E-2</v>
      </c>
      <c r="M46" s="8">
        <v>4.2750000000000004</v>
      </c>
      <c r="N46" s="8">
        <v>5.1984000000000002E-2</v>
      </c>
      <c r="O46" s="8">
        <v>25.675000000000001</v>
      </c>
      <c r="P46" s="8">
        <v>0.59052499999999997</v>
      </c>
      <c r="Q46" s="8">
        <f t="shared" si="7"/>
        <v>6.4475633718181755E-2</v>
      </c>
      <c r="R46" s="8">
        <f t="shared" si="8"/>
        <v>5.8407743662818179</v>
      </c>
      <c r="S46" s="8">
        <v>13</v>
      </c>
      <c r="T46" s="8">
        <v>10</v>
      </c>
      <c r="U46" s="27">
        <v>1.8245881999999998</v>
      </c>
      <c r="V46" s="8"/>
      <c r="W46" s="25">
        <v>5.4705399999999994E-2</v>
      </c>
      <c r="X46" s="26">
        <v>4.9557000000000002</v>
      </c>
      <c r="Z46" s="3">
        <f t="shared" si="9"/>
        <v>1.1038884516819015E-2</v>
      </c>
    </row>
    <row r="47" spans="1:26" s="3" customFormat="1" ht="15.75" x14ac:dyDescent="0.4">
      <c r="A47" s="4"/>
      <c r="B47" s="6" t="s">
        <v>135</v>
      </c>
      <c r="C47" s="4" t="s">
        <v>91</v>
      </c>
      <c r="D47" s="3">
        <v>0.35</v>
      </c>
      <c r="E47" s="3">
        <f>D47*0.06018</f>
        <v>2.1062999999999998E-2</v>
      </c>
      <c r="F47" s="3">
        <v>27.5</v>
      </c>
      <c r="G47" s="3">
        <f>F47*0.035457</f>
        <v>0.97506750000000009</v>
      </c>
      <c r="H47" s="3">
        <f>(J47+T47)-S47</f>
        <v>2.4000000000000004</v>
      </c>
      <c r="I47" s="8">
        <f>H47*0.048033</f>
        <v>0.11527920000000001</v>
      </c>
      <c r="J47" s="8">
        <v>5.3</v>
      </c>
      <c r="K47" s="8">
        <v>1.25</v>
      </c>
      <c r="L47" s="8">
        <f>K47*0.02004</f>
        <v>2.5049999999999999E-2</v>
      </c>
      <c r="M47" s="8">
        <f>J47-K47</f>
        <v>4.05</v>
      </c>
      <c r="N47" s="8">
        <f>M47*0.01216</f>
        <v>4.9248E-2</v>
      </c>
      <c r="O47" s="3">
        <f>D47+F47+H47-J47</f>
        <v>24.95</v>
      </c>
      <c r="P47" s="3">
        <f>O47*0.023</f>
        <v>0.57384999999999997</v>
      </c>
      <c r="Q47" s="8">
        <f t="shared" si="7"/>
        <v>6.603249480092914E-2</v>
      </c>
      <c r="R47" s="8">
        <f t="shared" si="8"/>
        <v>5.6724675051990712</v>
      </c>
      <c r="S47" s="3">
        <v>12.9</v>
      </c>
      <c r="T47" s="3">
        <v>10</v>
      </c>
      <c r="U47" s="24">
        <f>E47+G47+I47+L47+N47+P47</f>
        <v>1.7595577</v>
      </c>
      <c r="V47" s="8"/>
      <c r="W47" s="25">
        <v>0.15100910000000001</v>
      </c>
      <c r="X47" s="26">
        <v>12.972313333333332</v>
      </c>
      <c r="Z47" s="3">
        <f t="shared" si="9"/>
        <v>1.1640876697910989E-2</v>
      </c>
    </row>
    <row r="48" spans="1:26" s="3" customFormat="1" ht="15.75" x14ac:dyDescent="0.4">
      <c r="A48" s="4"/>
      <c r="B48" s="6" t="s">
        <v>135</v>
      </c>
      <c r="C48" s="4" t="s">
        <v>92</v>
      </c>
      <c r="D48" s="3">
        <v>0.4</v>
      </c>
      <c r="E48" s="3">
        <f>D48*0.06018</f>
        <v>2.4072E-2</v>
      </c>
      <c r="F48" s="3">
        <v>25.5</v>
      </c>
      <c r="G48" s="3">
        <f>F48*0.035457</f>
        <v>0.90415350000000005</v>
      </c>
      <c r="H48" s="3">
        <f>(J48+T48)-S48</f>
        <v>2</v>
      </c>
      <c r="I48" s="8">
        <f>H48*0.048033</f>
        <v>9.6065999999999999E-2</v>
      </c>
      <c r="J48" s="8">
        <v>5</v>
      </c>
      <c r="K48" s="8">
        <v>1.1499999999999999</v>
      </c>
      <c r="L48" s="8">
        <f>K48*0.02004</f>
        <v>2.3045999999999997E-2</v>
      </c>
      <c r="M48" s="8">
        <f>J48-K48</f>
        <v>3.85</v>
      </c>
      <c r="N48" s="8">
        <f>M48*0.01216</f>
        <v>4.6816000000000003E-2</v>
      </c>
      <c r="O48" s="3">
        <f>D48+F48+H48-J48</f>
        <v>22.9</v>
      </c>
      <c r="P48" s="3">
        <f>O48*0.023</f>
        <v>0.52669999999999995</v>
      </c>
      <c r="Q48" s="8">
        <f t="shared" si="7"/>
        <v>4.5468397276647414E-2</v>
      </c>
      <c r="R48" s="8">
        <f t="shared" si="8"/>
        <v>5.2215316027233518</v>
      </c>
      <c r="S48" s="3">
        <v>13</v>
      </c>
      <c r="T48" s="3">
        <v>10</v>
      </c>
      <c r="U48" s="24">
        <f>E48+G48+I48+L48+N48+P48</f>
        <v>1.6208534999999999</v>
      </c>
      <c r="V48" s="8"/>
      <c r="W48" s="25">
        <v>0.10781055</v>
      </c>
      <c r="X48" s="26">
        <v>12.380823333333334</v>
      </c>
      <c r="Z48" s="3">
        <f t="shared" si="9"/>
        <v>8.7078659550643787E-3</v>
      </c>
    </row>
    <row r="49" spans="1:26" s="3" customFormat="1" ht="15.75" x14ac:dyDescent="0.4">
      <c r="A49" s="4"/>
      <c r="B49" s="6" t="s">
        <v>135</v>
      </c>
      <c r="C49" s="4" t="s">
        <v>93</v>
      </c>
      <c r="D49" s="3">
        <v>0.4</v>
      </c>
      <c r="E49" s="3">
        <f>D49*0.06018</f>
        <v>2.4072E-2</v>
      </c>
      <c r="F49" s="3">
        <v>24</v>
      </c>
      <c r="G49" s="3">
        <f>F49*0.035457</f>
        <v>0.85096800000000006</v>
      </c>
      <c r="H49" s="3">
        <f>(J49+T49)-S49</f>
        <v>2.5</v>
      </c>
      <c r="I49" s="8">
        <f>H49*0.048033</f>
        <v>0.12008249999999999</v>
      </c>
      <c r="J49" s="8">
        <v>5.5</v>
      </c>
      <c r="K49" s="8">
        <v>1.1000000000000001</v>
      </c>
      <c r="L49" s="8">
        <f>K49*0.02004</f>
        <v>2.2044000000000001E-2</v>
      </c>
      <c r="M49" s="8">
        <f>J49-K49</f>
        <v>4.4000000000000004</v>
      </c>
      <c r="N49" s="8">
        <f>M49*0.01216</f>
        <v>5.350400000000001E-2</v>
      </c>
      <c r="O49" s="3">
        <f>D49+F49+H49-J49</f>
        <v>21.4</v>
      </c>
      <c r="P49" s="3">
        <f>O49*0.023</f>
        <v>0.49219999999999997</v>
      </c>
      <c r="Q49" s="8">
        <f t="shared" si="7"/>
        <v>4.3957126306663839E-2</v>
      </c>
      <c r="R49" s="8">
        <f t="shared" si="8"/>
        <v>4.8780428736933352</v>
      </c>
      <c r="S49" s="3">
        <v>13</v>
      </c>
      <c r="T49" s="3">
        <v>10</v>
      </c>
      <c r="U49" s="24">
        <f>E49+G49+I49+L49+N49+P49</f>
        <v>1.5628705000000001</v>
      </c>
      <c r="V49" s="8"/>
      <c r="W49" s="25">
        <v>8.0686450000000007E-2</v>
      </c>
      <c r="X49" s="26">
        <v>8.9539966666666668</v>
      </c>
      <c r="Z49" s="3">
        <f t="shared" si="9"/>
        <v>9.0112218044902867E-3</v>
      </c>
    </row>
    <row r="50" spans="1:26" ht="15.75" x14ac:dyDescent="0.4">
      <c r="V50" s="8"/>
      <c r="Z50" s="3">
        <f>AVERAGE(Z35:Z49)</f>
        <v>1.2773299385166388E-2</v>
      </c>
    </row>
    <row r="51" spans="1:26" s="3" customFormat="1" ht="15.75" x14ac:dyDescent="0.4">
      <c r="A51" s="4" t="s">
        <v>101</v>
      </c>
      <c r="B51" s="6" t="s">
        <v>136</v>
      </c>
      <c r="C51" s="4" t="s">
        <v>89</v>
      </c>
      <c r="D51" s="3">
        <v>0.3</v>
      </c>
      <c r="E51" s="3">
        <f>D51*0.06018</f>
        <v>1.8053999999999997E-2</v>
      </c>
      <c r="F51" s="3">
        <v>17.5</v>
      </c>
      <c r="G51" s="3">
        <f>F51*0.035457</f>
        <v>0.62049750000000004</v>
      </c>
      <c r="H51" s="8">
        <f>(J51+T51)-S51</f>
        <v>3.6000000000000014</v>
      </c>
      <c r="I51" s="8">
        <f>H51*0.048033</f>
        <v>0.17291880000000007</v>
      </c>
      <c r="J51" s="8">
        <v>7.6</v>
      </c>
      <c r="K51" s="8">
        <v>3.1</v>
      </c>
      <c r="L51" s="8">
        <f>K51*0.02004</f>
        <v>6.2123999999999999E-2</v>
      </c>
      <c r="M51" s="8">
        <f>J51-K51</f>
        <v>4.5</v>
      </c>
      <c r="N51" s="8">
        <f>M51*0.01216</f>
        <v>5.4720000000000005E-2</v>
      </c>
      <c r="O51" s="8">
        <f>D51+F51+H51-J51</f>
        <v>13.800000000000002</v>
      </c>
      <c r="P51" s="8">
        <f>O51*0.023</f>
        <v>0.31740000000000007</v>
      </c>
      <c r="Q51" s="8">
        <f>P51*W51/(W51+X51)*10</f>
        <v>4.0106273482462207E-2</v>
      </c>
      <c r="R51" s="8">
        <f>P51*X51/(W51+X51)*10</f>
        <v>3.1338937265175382</v>
      </c>
      <c r="S51" s="3">
        <v>24</v>
      </c>
      <c r="T51" s="3">
        <v>20</v>
      </c>
      <c r="U51" s="24">
        <f>E51+G51+I51+L51+N51+P51</f>
        <v>1.2457143000000002</v>
      </c>
      <c r="V51" s="8"/>
      <c r="W51" s="25">
        <v>7.747155E-2</v>
      </c>
      <c r="X51" s="26">
        <v>6.053606666666667</v>
      </c>
      <c r="Z51" s="3">
        <f>+W51/X51</f>
        <v>1.27975856817038E-2</v>
      </c>
    </row>
    <row r="52" spans="1:26" s="3" customFormat="1" ht="15.75" x14ac:dyDescent="0.4">
      <c r="A52" s="4"/>
      <c r="B52" s="6" t="s">
        <v>136</v>
      </c>
      <c r="C52" s="4" t="s">
        <v>102</v>
      </c>
      <c r="D52" s="8">
        <v>0.35</v>
      </c>
      <c r="E52" s="8">
        <v>2.1062999999999998E-2</v>
      </c>
      <c r="F52" s="8">
        <v>49</v>
      </c>
      <c r="G52" s="8">
        <v>1.737393</v>
      </c>
      <c r="H52" s="8">
        <v>3.875</v>
      </c>
      <c r="I52" s="8">
        <v>0.186127875</v>
      </c>
      <c r="J52" s="8">
        <v>11.725</v>
      </c>
      <c r="K52" s="8">
        <v>3.375</v>
      </c>
      <c r="L52" s="8">
        <v>6.7635000000000001E-2</v>
      </c>
      <c r="M52" s="8">
        <v>8.35</v>
      </c>
      <c r="N52" s="8">
        <v>0.10153600000000002</v>
      </c>
      <c r="O52" s="8">
        <v>41.5</v>
      </c>
      <c r="P52" s="8">
        <v>0.95450000000000013</v>
      </c>
      <c r="Q52" s="8">
        <f t="shared" ref="Q52:Q65" si="10">P52*W52/(W52+X52)*10</f>
        <v>6.0943427101027813E-2</v>
      </c>
      <c r="R52" s="8">
        <f t="shared" ref="R52:R65" si="11">P52*X52/(W52+X52)*10</f>
        <v>9.4840565728989752</v>
      </c>
      <c r="S52" s="8">
        <v>27.85</v>
      </c>
      <c r="T52" s="8">
        <v>20</v>
      </c>
      <c r="U52" s="27">
        <v>3.0682548750000005</v>
      </c>
      <c r="V52" s="8"/>
      <c r="W52" s="25">
        <v>0.10369075</v>
      </c>
      <c r="X52" s="26">
        <v>16.136423333333333</v>
      </c>
      <c r="Z52" s="3">
        <f t="shared" ref="Z52:Z65" si="12">+W52/X52</f>
        <v>6.4258818610567767E-3</v>
      </c>
    </row>
    <row r="53" spans="1:26" s="3" customFormat="1" ht="15.75" x14ac:dyDescent="0.4">
      <c r="A53" s="4"/>
      <c r="B53" s="6" t="s">
        <v>136</v>
      </c>
      <c r="C53" s="4" t="s">
        <v>91</v>
      </c>
      <c r="D53" s="3">
        <v>0.35</v>
      </c>
      <c r="E53" s="3">
        <f>D53*0.06018</f>
        <v>2.1062999999999998E-2</v>
      </c>
      <c r="F53" s="3">
        <v>45.5</v>
      </c>
      <c r="G53" s="3">
        <f>F53*0.035457</f>
        <v>1.6132935000000002</v>
      </c>
      <c r="H53" s="8">
        <f>(J53+T53)-S53</f>
        <v>2.3499999999999979</v>
      </c>
      <c r="I53" s="8">
        <f>H53*0.048033</f>
        <v>0.1128775499999999</v>
      </c>
      <c r="J53" s="8">
        <v>10.9</v>
      </c>
      <c r="K53" s="8">
        <v>2.5499999999999998</v>
      </c>
      <c r="L53" s="8">
        <f>K53*0.02004</f>
        <v>5.1101999999999995E-2</v>
      </c>
      <c r="M53" s="8">
        <f>J53-K53</f>
        <v>8.3500000000000014</v>
      </c>
      <c r="N53" s="8">
        <f>M53*0.01216</f>
        <v>0.10153600000000003</v>
      </c>
      <c r="O53" s="8">
        <f>D53+F53+H53-J53</f>
        <v>37.300000000000004</v>
      </c>
      <c r="P53" s="8">
        <f>O53*0.023</f>
        <v>0.85790000000000011</v>
      </c>
      <c r="Q53" s="8">
        <f t="shared" si="10"/>
        <v>5.8039239794448118E-2</v>
      </c>
      <c r="R53" s="8">
        <f t="shared" si="11"/>
        <v>8.5209607602055542</v>
      </c>
      <c r="S53" s="3">
        <v>28.55</v>
      </c>
      <c r="T53" s="3">
        <v>20</v>
      </c>
      <c r="U53" s="24">
        <f>E53+G53+I53+L53+N53+P53</f>
        <v>2.7577720500000003</v>
      </c>
      <c r="V53" s="8"/>
      <c r="W53" s="25">
        <v>0.13250565</v>
      </c>
      <c r="X53" s="26">
        <v>19.453656666666667</v>
      </c>
      <c r="Z53" s="3">
        <f t="shared" si="12"/>
        <v>6.8113492630434347E-3</v>
      </c>
    </row>
    <row r="54" spans="1:26" s="3" customFormat="1" ht="15.75" x14ac:dyDescent="0.4">
      <c r="A54" s="4"/>
      <c r="B54" s="6" t="s">
        <v>136</v>
      </c>
      <c r="C54" s="4" t="s">
        <v>92</v>
      </c>
      <c r="D54" s="3">
        <v>0.3</v>
      </c>
      <c r="E54" s="3">
        <f>D54*0.06018</f>
        <v>1.8053999999999997E-2</v>
      </c>
      <c r="F54" s="3">
        <v>38</v>
      </c>
      <c r="G54" s="3">
        <f>F54*0.035457</f>
        <v>1.3473660000000001</v>
      </c>
      <c r="H54" s="8">
        <f>(J54+T54)-S54</f>
        <v>11.900000000000002</v>
      </c>
      <c r="I54" s="8">
        <f>H54*0.048033</f>
        <v>0.57159270000000006</v>
      </c>
      <c r="J54" s="8">
        <v>19.600000000000001</v>
      </c>
      <c r="K54" s="8">
        <v>2.1</v>
      </c>
      <c r="L54" s="8">
        <f>K54*0.02004</f>
        <v>4.2083999999999996E-2</v>
      </c>
      <c r="M54" s="8">
        <f>J54-K54</f>
        <v>17.5</v>
      </c>
      <c r="N54" s="8">
        <f>M54*0.01216</f>
        <v>0.21280000000000002</v>
      </c>
      <c r="O54" s="8">
        <f>D54+F54+H54-J54</f>
        <v>30.6</v>
      </c>
      <c r="P54" s="8">
        <f>O54*0.023</f>
        <v>0.70379999999999998</v>
      </c>
      <c r="Q54" s="8">
        <f t="shared" si="10"/>
        <v>4.8168478811177015E-2</v>
      </c>
      <c r="R54" s="8">
        <f t="shared" si="11"/>
        <v>6.9898315211888216</v>
      </c>
      <c r="S54" s="3">
        <v>27.7</v>
      </c>
      <c r="T54" s="3">
        <v>20</v>
      </c>
      <c r="U54" s="24">
        <f>E54+G54+I54+L54+N54+P54</f>
        <v>2.8956967000000002</v>
      </c>
      <c r="V54" s="8"/>
      <c r="W54" s="25">
        <v>0.11443084999999999</v>
      </c>
      <c r="X54" s="26">
        <v>16.605306666666667</v>
      </c>
      <c r="Z54" s="3">
        <f t="shared" si="12"/>
        <v>6.8912217218913144E-3</v>
      </c>
    </row>
    <row r="55" spans="1:26" s="3" customFormat="1" ht="15.75" x14ac:dyDescent="0.4">
      <c r="A55" s="4"/>
      <c r="B55" s="6" t="s">
        <v>136</v>
      </c>
      <c r="C55" s="4" t="s">
        <v>93</v>
      </c>
      <c r="D55" s="3">
        <v>0.35</v>
      </c>
      <c r="E55" s="3">
        <f>D55*0.06018</f>
        <v>2.1062999999999998E-2</v>
      </c>
      <c r="F55" s="3">
        <v>37.5</v>
      </c>
      <c r="G55" s="3">
        <f>F55*0.035457</f>
        <v>1.3296375</v>
      </c>
      <c r="H55" s="8">
        <f>(J55+T55)-S55</f>
        <v>2.3999999999999986</v>
      </c>
      <c r="I55" s="8">
        <f>H55*0.048033</f>
        <v>0.11527919999999993</v>
      </c>
      <c r="J55" s="8">
        <v>10</v>
      </c>
      <c r="K55" s="8">
        <v>2.25</v>
      </c>
      <c r="L55" s="8">
        <f>K55*0.02004</f>
        <v>4.5089999999999998E-2</v>
      </c>
      <c r="M55" s="8">
        <f>J55-K55</f>
        <v>7.75</v>
      </c>
      <c r="N55" s="8">
        <f>M55*0.01216</f>
        <v>9.4240000000000004E-2</v>
      </c>
      <c r="O55" s="8">
        <f>D55+F55+H55-J55</f>
        <v>30.25</v>
      </c>
      <c r="P55" s="8">
        <f>O55*0.023</f>
        <v>0.69574999999999998</v>
      </c>
      <c r="Q55" s="8">
        <f t="shared" si="10"/>
        <v>9.4766668168437845E-2</v>
      </c>
      <c r="R55" s="8">
        <f t="shared" si="11"/>
        <v>6.8627333318315618</v>
      </c>
      <c r="S55" s="3">
        <v>27.6</v>
      </c>
      <c r="T55" s="3">
        <v>20</v>
      </c>
      <c r="U55" s="24">
        <f>E55+G55+I55+L55+N55+P55</f>
        <v>2.3010597000000002</v>
      </c>
      <c r="V55" s="8"/>
      <c r="W55" s="25">
        <v>0.14460314999999999</v>
      </c>
      <c r="X55" s="26">
        <v>10.47175</v>
      </c>
      <c r="Z55" s="3">
        <f t="shared" si="12"/>
        <v>1.3808881037075942E-2</v>
      </c>
    </row>
    <row r="56" spans="1:26" s="3" customFormat="1" ht="15.75" x14ac:dyDescent="0.4">
      <c r="A56" s="4" t="s">
        <v>103</v>
      </c>
      <c r="B56" s="6" t="s">
        <v>136</v>
      </c>
      <c r="C56" s="4" t="s">
        <v>89</v>
      </c>
      <c r="D56" s="3">
        <v>0.35</v>
      </c>
      <c r="E56" s="3">
        <f>D56*0.06018</f>
        <v>2.1062999999999998E-2</v>
      </c>
      <c r="F56" s="3">
        <v>6.9</v>
      </c>
      <c r="G56" s="3">
        <f>F56*0.035457</f>
        <v>0.24465330000000002</v>
      </c>
      <c r="H56" s="8">
        <f>(J56+T56)-S56</f>
        <v>1.5999999999999996</v>
      </c>
      <c r="I56" s="8">
        <f>H56*0.048033</f>
        <v>7.6852799999999985E-2</v>
      </c>
      <c r="J56" s="8">
        <v>3</v>
      </c>
      <c r="K56" s="8">
        <v>1.25</v>
      </c>
      <c r="L56" s="8">
        <f>K56*0.02004</f>
        <v>2.5049999999999999E-2</v>
      </c>
      <c r="M56" s="8">
        <f>J56-K56</f>
        <v>1.75</v>
      </c>
      <c r="N56" s="8">
        <f>M56*0.01216</f>
        <v>2.128E-2</v>
      </c>
      <c r="O56" s="8">
        <f>D56+F56+H56-J56</f>
        <v>5.85</v>
      </c>
      <c r="P56" s="8">
        <f>O56*0.023</f>
        <v>0.13455</v>
      </c>
      <c r="Q56" s="8">
        <f t="shared" si="10"/>
        <v>2.83639547362418E-2</v>
      </c>
      <c r="R56" s="8">
        <f t="shared" si="11"/>
        <v>1.3171360452637584</v>
      </c>
      <c r="S56" s="3">
        <v>11.4</v>
      </c>
      <c r="T56" s="3">
        <v>10</v>
      </c>
      <c r="U56" s="24">
        <f>E56+G56+I56+L56+N56+P56</f>
        <v>0.52344910000000011</v>
      </c>
      <c r="V56" s="8"/>
      <c r="W56" s="25">
        <v>3.4249150000000006E-2</v>
      </c>
      <c r="X56" s="26">
        <v>1.5904266666666667</v>
      </c>
      <c r="Z56" s="3">
        <f t="shared" si="12"/>
        <v>2.1534567244009997E-2</v>
      </c>
    </row>
    <row r="57" spans="1:26" s="3" customFormat="1" ht="15.75" x14ac:dyDescent="0.4">
      <c r="A57" s="4"/>
      <c r="B57" s="6" t="s">
        <v>136</v>
      </c>
      <c r="C57" s="4" t="s">
        <v>102</v>
      </c>
      <c r="D57" s="8">
        <v>0.35</v>
      </c>
      <c r="E57" s="8">
        <v>2.1062999999999998E-2</v>
      </c>
      <c r="F57" s="8">
        <v>13.85</v>
      </c>
      <c r="G57" s="8">
        <v>0.49107944999999997</v>
      </c>
      <c r="H57" s="8">
        <v>1.9</v>
      </c>
      <c r="I57" s="8">
        <v>9.1262700000000016E-2</v>
      </c>
      <c r="J57" s="8">
        <v>4.5999999999999996</v>
      </c>
      <c r="K57" s="8">
        <v>1.9750000000000001</v>
      </c>
      <c r="L57" s="8">
        <v>3.9579000000000003E-2</v>
      </c>
      <c r="M57" s="8">
        <v>2.625</v>
      </c>
      <c r="N57" s="8">
        <v>3.1920000000000004E-2</v>
      </c>
      <c r="O57" s="8">
        <v>11.5</v>
      </c>
      <c r="P57" s="8">
        <v>0.26449999999999996</v>
      </c>
      <c r="Q57" s="8">
        <f t="shared" si="10"/>
        <v>3.072762473490645E-2</v>
      </c>
      <c r="R57" s="8">
        <f t="shared" si="11"/>
        <v>2.6142723752650934</v>
      </c>
      <c r="S57" s="8">
        <v>12.7</v>
      </c>
      <c r="T57" s="8">
        <v>10</v>
      </c>
      <c r="U57" s="27">
        <v>0.9394041500000001</v>
      </c>
      <c r="V57" s="8"/>
      <c r="W57" s="25">
        <v>4.6584800000000003E-2</v>
      </c>
      <c r="X57" s="26">
        <v>3.9633833333333333</v>
      </c>
      <c r="Z57" s="3">
        <f t="shared" si="12"/>
        <v>1.1753796209467501E-2</v>
      </c>
    </row>
    <row r="58" spans="1:26" s="3" customFormat="1" ht="15.75" x14ac:dyDescent="0.4">
      <c r="A58" s="4"/>
      <c r="B58" s="6" t="s">
        <v>136</v>
      </c>
      <c r="C58" s="4" t="s">
        <v>91</v>
      </c>
      <c r="D58" s="3">
        <v>0.45</v>
      </c>
      <c r="E58" s="3">
        <f>D58*0.06018</f>
        <v>2.7081000000000001E-2</v>
      </c>
      <c r="F58" s="3">
        <v>15.1</v>
      </c>
      <c r="G58" s="3">
        <f>F58*0.035457</f>
        <v>0.53540070000000006</v>
      </c>
      <c r="H58" s="8">
        <f>(J58+T58)-S58</f>
        <v>1.3500000000000014</v>
      </c>
      <c r="I58" s="8">
        <f>H58*0.048033</f>
        <v>6.484455000000007E-2</v>
      </c>
      <c r="J58" s="8">
        <v>4.55</v>
      </c>
      <c r="K58" s="8">
        <v>1.65</v>
      </c>
      <c r="L58" s="8">
        <f>K58*0.02004</f>
        <v>3.3065999999999998E-2</v>
      </c>
      <c r="M58" s="8">
        <f>J58-K58</f>
        <v>2.9</v>
      </c>
      <c r="N58" s="8">
        <f>M58*0.01216</f>
        <v>3.5264000000000004E-2</v>
      </c>
      <c r="O58" s="8">
        <f>D58+F58+H58-J58</f>
        <v>12.349999999999998</v>
      </c>
      <c r="P58" s="8">
        <f>O58*0.023</f>
        <v>0.28404999999999997</v>
      </c>
      <c r="Q58" s="8">
        <f t="shared" si="10"/>
        <v>3.0979558794597253E-2</v>
      </c>
      <c r="R58" s="8">
        <f t="shared" si="11"/>
        <v>2.809520441205402</v>
      </c>
      <c r="S58" s="3">
        <v>13.2</v>
      </c>
      <c r="T58" s="3">
        <v>10</v>
      </c>
      <c r="U58" s="24">
        <f>E58+G58+I58+L58+N58+P58</f>
        <v>0.97970625000000022</v>
      </c>
      <c r="V58" s="8"/>
      <c r="W58" s="25">
        <v>5.3800500000000001E-2</v>
      </c>
      <c r="X58" s="26">
        <v>4.8791399999999996</v>
      </c>
      <c r="Z58" s="3">
        <f t="shared" si="12"/>
        <v>1.1026635841562243E-2</v>
      </c>
    </row>
    <row r="59" spans="1:26" s="3" customFormat="1" ht="15.75" x14ac:dyDescent="0.4">
      <c r="A59" s="4"/>
      <c r="B59" s="6" t="s">
        <v>136</v>
      </c>
      <c r="C59" s="4" t="s">
        <v>92</v>
      </c>
      <c r="D59" s="3">
        <v>0.34</v>
      </c>
      <c r="E59" s="3">
        <f>D59*0.06018</f>
        <v>2.0461200000000002E-2</v>
      </c>
      <c r="F59" s="3">
        <v>15.1</v>
      </c>
      <c r="G59" s="3">
        <f>F59*0.035457</f>
        <v>0.53540070000000006</v>
      </c>
      <c r="H59" s="8">
        <f>(J59+T59)-S59</f>
        <v>1.9499999999999993</v>
      </c>
      <c r="I59" s="8">
        <f>H59*0.048033</f>
        <v>9.3664349999999966E-2</v>
      </c>
      <c r="J59" s="8">
        <v>4.75</v>
      </c>
      <c r="K59" s="8">
        <v>1.7</v>
      </c>
      <c r="L59" s="8">
        <f>K59*0.02004</f>
        <v>3.4067999999999994E-2</v>
      </c>
      <c r="M59" s="8">
        <f>J59-K59</f>
        <v>3.05</v>
      </c>
      <c r="N59" s="8">
        <f>M59*0.01216</f>
        <v>3.7088000000000003E-2</v>
      </c>
      <c r="O59" s="8">
        <f>D59+F59+H59-J59</f>
        <v>12.64</v>
      </c>
      <c r="P59" s="8">
        <f>O59*0.023</f>
        <v>0.29072000000000003</v>
      </c>
      <c r="Q59" s="8">
        <f t="shared" si="10"/>
        <v>3.322058805497069E-2</v>
      </c>
      <c r="R59" s="8">
        <f t="shared" si="11"/>
        <v>2.8739794119450295</v>
      </c>
      <c r="S59" s="3">
        <v>12.8</v>
      </c>
      <c r="T59" s="3">
        <v>10</v>
      </c>
      <c r="U59" s="24">
        <f>E59+G59+I59+L59+N59+P59</f>
        <v>1.0114022499999999</v>
      </c>
      <c r="V59" s="8"/>
      <c r="W59" s="25">
        <v>6.3397450000000008E-2</v>
      </c>
      <c r="X59" s="26">
        <v>5.4846399999999997</v>
      </c>
      <c r="Z59" s="3">
        <f t="shared" si="12"/>
        <v>1.1559090478135303E-2</v>
      </c>
    </row>
    <row r="60" spans="1:26" s="3" customFormat="1" ht="15.75" x14ac:dyDescent="0.4">
      <c r="A60" s="4"/>
      <c r="B60" s="6" t="s">
        <v>136</v>
      </c>
      <c r="C60" s="4" t="s">
        <v>93</v>
      </c>
      <c r="D60" s="3">
        <v>0.4</v>
      </c>
      <c r="E60" s="3">
        <f>D60*0.06018</f>
        <v>2.4072E-2</v>
      </c>
      <c r="F60" s="3">
        <v>14.45</v>
      </c>
      <c r="G60" s="3">
        <f>F60*0.035457</f>
        <v>0.51235364999999999</v>
      </c>
      <c r="H60" s="8">
        <f>(J60+T60)-S60</f>
        <v>1.5499999999999989</v>
      </c>
      <c r="I60" s="8">
        <f>H60*0.048033</f>
        <v>7.4451149999999952E-2</v>
      </c>
      <c r="J60" s="8">
        <v>4.0999999999999996</v>
      </c>
      <c r="K60" s="8">
        <v>1.4</v>
      </c>
      <c r="L60" s="8">
        <f>K60*0.02004</f>
        <v>2.8055999999999998E-2</v>
      </c>
      <c r="M60" s="8">
        <f>J60-K60</f>
        <v>2.6999999999999997</v>
      </c>
      <c r="N60" s="8">
        <f>M60*0.01216</f>
        <v>3.2832E-2</v>
      </c>
      <c r="O60" s="8">
        <f>D60+F60+H60-J60</f>
        <v>12.299999999999999</v>
      </c>
      <c r="P60" s="8">
        <f>O60*0.023</f>
        <v>0.28289999999999998</v>
      </c>
      <c r="Q60" s="8">
        <f t="shared" si="10"/>
        <v>3.3367579882203818E-2</v>
      </c>
      <c r="R60" s="8">
        <f t="shared" si="11"/>
        <v>2.795632420117796</v>
      </c>
      <c r="S60" s="3">
        <v>12.55</v>
      </c>
      <c r="T60" s="3">
        <v>10</v>
      </c>
      <c r="U60" s="24">
        <f>E60+G60+I60+L60+N60+P60</f>
        <v>0.95466479999999976</v>
      </c>
      <c r="V60" s="8"/>
      <c r="W60" s="25">
        <v>4.7251650000000006E-2</v>
      </c>
      <c r="X60" s="26">
        <v>3.9588800000000002</v>
      </c>
      <c r="Z60" s="3">
        <f t="shared" si="12"/>
        <v>1.1935610576728773E-2</v>
      </c>
    </row>
    <row r="61" spans="1:26" ht="15.75" x14ac:dyDescent="0.4">
      <c r="B61" s="6" t="s">
        <v>136</v>
      </c>
      <c r="C61" s="4" t="s">
        <v>89</v>
      </c>
      <c r="D61" s="3">
        <f t="shared" ref="D61:P61" si="13">AVERAGE(D56,D51)</f>
        <v>0.32499999999999996</v>
      </c>
      <c r="E61" s="3">
        <f t="shared" si="13"/>
        <v>1.9558499999999999E-2</v>
      </c>
      <c r="F61" s="3">
        <f t="shared" si="13"/>
        <v>12.2</v>
      </c>
      <c r="G61" s="3">
        <f t="shared" si="13"/>
        <v>0.43257540000000005</v>
      </c>
      <c r="H61" s="3">
        <f t="shared" si="13"/>
        <v>2.6000000000000005</v>
      </c>
      <c r="I61" s="3">
        <f t="shared" si="13"/>
        <v>0.12488580000000002</v>
      </c>
      <c r="J61" s="3">
        <f t="shared" si="13"/>
        <v>5.3</v>
      </c>
      <c r="K61" s="3">
        <f t="shared" si="13"/>
        <v>2.1749999999999998</v>
      </c>
      <c r="L61" s="3">
        <f t="shared" si="13"/>
        <v>4.3587000000000001E-2</v>
      </c>
      <c r="M61" s="3">
        <f t="shared" si="13"/>
        <v>3.125</v>
      </c>
      <c r="N61" s="3">
        <f t="shared" si="13"/>
        <v>3.8000000000000006E-2</v>
      </c>
      <c r="O61" s="3">
        <f t="shared" si="13"/>
        <v>9.8250000000000011</v>
      </c>
      <c r="P61" s="3">
        <f t="shared" si="13"/>
        <v>0.22597500000000004</v>
      </c>
      <c r="Q61" s="8">
        <f t="shared" si="10"/>
        <v>3.2551425785288253E-2</v>
      </c>
      <c r="R61" s="8">
        <f t="shared" si="11"/>
        <v>2.2271985742147118</v>
      </c>
      <c r="S61" s="3"/>
      <c r="T61" s="3"/>
      <c r="U61" s="24">
        <f>AVERAGE(U56,U51)</f>
        <v>0.88458170000000014</v>
      </c>
      <c r="V61" s="8"/>
      <c r="W61" s="25">
        <f t="shared" ref="W61:X65" si="14">AVERAGE(W51,W56)</f>
        <v>5.5860350000000003E-2</v>
      </c>
      <c r="X61" s="25">
        <f t="shared" si="14"/>
        <v>3.8220166666666668</v>
      </c>
      <c r="Z61" s="3">
        <f t="shared" si="12"/>
        <v>1.4615412456774566E-2</v>
      </c>
    </row>
    <row r="62" spans="1:26" ht="15.75" x14ac:dyDescent="0.4">
      <c r="B62" s="6" t="s">
        <v>136</v>
      </c>
      <c r="C62" s="4" t="s">
        <v>90</v>
      </c>
      <c r="D62" s="3">
        <f t="shared" ref="D62:P65" si="15">AVERAGE(D57,D52)</f>
        <v>0.35</v>
      </c>
      <c r="E62" s="3">
        <f t="shared" si="15"/>
        <v>2.1062999999999998E-2</v>
      </c>
      <c r="F62" s="3">
        <f t="shared" si="15"/>
        <v>31.425000000000001</v>
      </c>
      <c r="G62" s="3">
        <f t="shared" si="15"/>
        <v>1.114236225</v>
      </c>
      <c r="H62" s="3">
        <f t="shared" si="15"/>
        <v>2.8875000000000002</v>
      </c>
      <c r="I62" s="3">
        <f t="shared" si="15"/>
        <v>0.13869528750000001</v>
      </c>
      <c r="J62" s="3">
        <f t="shared" si="15"/>
        <v>8.1624999999999996</v>
      </c>
      <c r="K62" s="3">
        <f t="shared" si="15"/>
        <v>2.6749999999999998</v>
      </c>
      <c r="L62" s="3">
        <f t="shared" si="15"/>
        <v>5.3607000000000002E-2</v>
      </c>
      <c r="M62" s="3">
        <f t="shared" si="15"/>
        <v>5.4874999999999998</v>
      </c>
      <c r="N62" s="3">
        <f t="shared" si="15"/>
        <v>6.672800000000001E-2</v>
      </c>
      <c r="O62" s="3">
        <f t="shared" si="15"/>
        <v>26.5</v>
      </c>
      <c r="P62" s="3">
        <f t="shared" si="15"/>
        <v>0.60950000000000004</v>
      </c>
      <c r="Q62" s="8">
        <f t="shared" si="10"/>
        <v>4.5230901655112871E-2</v>
      </c>
      <c r="R62" s="8">
        <f t="shared" si="11"/>
        <v>6.0497690983448873</v>
      </c>
      <c r="S62" s="3"/>
      <c r="T62" s="3"/>
      <c r="U62" s="24">
        <f>AVERAGE(U57,U52)</f>
        <v>2.0038295125000003</v>
      </c>
      <c r="V62" s="8"/>
      <c r="W62" s="25">
        <f t="shared" si="14"/>
        <v>7.5137775000000004E-2</v>
      </c>
      <c r="X62" s="25">
        <f t="shared" si="14"/>
        <v>10.049903333333333</v>
      </c>
      <c r="Z62" s="3">
        <f t="shared" si="12"/>
        <v>7.4764674353418334E-3</v>
      </c>
    </row>
    <row r="63" spans="1:26" ht="15.75" x14ac:dyDescent="0.4">
      <c r="B63" s="6" t="s">
        <v>136</v>
      </c>
      <c r="C63" s="4" t="s">
        <v>91</v>
      </c>
      <c r="D63" s="3">
        <f t="shared" si="15"/>
        <v>0.4</v>
      </c>
      <c r="E63" s="3">
        <f t="shared" si="15"/>
        <v>2.4072E-2</v>
      </c>
      <c r="F63" s="3">
        <f t="shared" si="15"/>
        <v>30.3</v>
      </c>
      <c r="G63" s="3">
        <f t="shared" si="15"/>
        <v>1.0743471000000002</v>
      </c>
      <c r="H63" s="3">
        <f t="shared" si="15"/>
        <v>1.8499999999999996</v>
      </c>
      <c r="I63" s="3">
        <f t="shared" si="15"/>
        <v>8.8861049999999983E-2</v>
      </c>
      <c r="J63" s="3">
        <f t="shared" si="15"/>
        <v>7.7249999999999996</v>
      </c>
      <c r="K63" s="3">
        <f t="shared" si="15"/>
        <v>2.0999999999999996</v>
      </c>
      <c r="L63" s="3">
        <f t="shared" si="15"/>
        <v>4.2083999999999996E-2</v>
      </c>
      <c r="M63" s="3">
        <f t="shared" si="15"/>
        <v>5.6250000000000009</v>
      </c>
      <c r="N63" s="3">
        <f t="shared" si="15"/>
        <v>6.8400000000000016E-2</v>
      </c>
      <c r="O63" s="3">
        <f t="shared" si="15"/>
        <v>24.825000000000003</v>
      </c>
      <c r="P63" s="3">
        <f t="shared" si="15"/>
        <v>0.57097500000000001</v>
      </c>
      <c r="Q63" s="8">
        <f t="shared" si="10"/>
        <v>4.3385010777776761E-2</v>
      </c>
      <c r="R63" s="8">
        <f t="shared" si="11"/>
        <v>5.6663649892222239</v>
      </c>
      <c r="S63" s="3"/>
      <c r="T63" s="3"/>
      <c r="U63" s="24">
        <f>AVERAGE(U58,U53)</f>
        <v>1.8687391500000001</v>
      </c>
      <c r="V63" s="8"/>
      <c r="W63" s="25">
        <f t="shared" si="14"/>
        <v>9.3153075000000002E-2</v>
      </c>
      <c r="X63" s="25">
        <f t="shared" si="14"/>
        <v>12.166398333333333</v>
      </c>
      <c r="Z63" s="3">
        <f t="shared" si="12"/>
        <v>7.656585987718359E-3</v>
      </c>
    </row>
    <row r="64" spans="1:26" ht="15.75" x14ac:dyDescent="0.4">
      <c r="B64" s="6" t="s">
        <v>136</v>
      </c>
      <c r="C64" s="4" t="s">
        <v>92</v>
      </c>
      <c r="D64" s="3">
        <f t="shared" si="15"/>
        <v>0.32</v>
      </c>
      <c r="E64" s="3">
        <f t="shared" si="15"/>
        <v>1.92576E-2</v>
      </c>
      <c r="F64" s="3">
        <f t="shared" si="15"/>
        <v>26.55</v>
      </c>
      <c r="G64" s="3">
        <f t="shared" si="15"/>
        <v>0.94138335000000006</v>
      </c>
      <c r="H64" s="3">
        <f t="shared" si="15"/>
        <v>6.9250000000000007</v>
      </c>
      <c r="I64" s="3">
        <f t="shared" si="15"/>
        <v>0.33262852500000001</v>
      </c>
      <c r="J64" s="3">
        <f t="shared" si="15"/>
        <v>12.175000000000001</v>
      </c>
      <c r="K64" s="3">
        <f t="shared" si="15"/>
        <v>1.9</v>
      </c>
      <c r="L64" s="3">
        <f t="shared" si="15"/>
        <v>3.8075999999999999E-2</v>
      </c>
      <c r="M64" s="3">
        <f t="shared" si="15"/>
        <v>10.275</v>
      </c>
      <c r="N64" s="3">
        <f t="shared" si="15"/>
        <v>0.12494400000000001</v>
      </c>
      <c r="O64" s="3">
        <f t="shared" si="15"/>
        <v>21.62</v>
      </c>
      <c r="P64" s="3">
        <f t="shared" si="15"/>
        <v>0.49726000000000004</v>
      </c>
      <c r="Q64" s="8">
        <f t="shared" si="10"/>
        <v>3.9710703287764049E-2</v>
      </c>
      <c r="R64" s="8">
        <f t="shared" si="11"/>
        <v>4.9328892967122355</v>
      </c>
      <c r="S64" s="3"/>
      <c r="T64" s="3"/>
      <c r="U64" s="24">
        <f>AVERAGE(U59,U54)</f>
        <v>1.953549475</v>
      </c>
      <c r="V64" s="8"/>
      <c r="W64" s="25">
        <f t="shared" si="14"/>
        <v>8.8914149999999997E-2</v>
      </c>
      <c r="X64" s="25">
        <f t="shared" si="14"/>
        <v>11.044973333333333</v>
      </c>
      <c r="Z64" s="3">
        <f t="shared" si="12"/>
        <v>8.0501914596443867E-3</v>
      </c>
    </row>
    <row r="65" spans="2:26" ht="15.75" x14ac:dyDescent="0.4">
      <c r="B65" s="6" t="s">
        <v>136</v>
      </c>
      <c r="C65" s="4" t="s">
        <v>93</v>
      </c>
      <c r="D65" s="3">
        <f t="shared" si="15"/>
        <v>0.375</v>
      </c>
      <c r="E65" s="3">
        <f t="shared" si="15"/>
        <v>2.2567499999999997E-2</v>
      </c>
      <c r="F65" s="3">
        <f t="shared" si="15"/>
        <v>25.975000000000001</v>
      </c>
      <c r="G65" s="3">
        <f t="shared" si="15"/>
        <v>0.92099557500000007</v>
      </c>
      <c r="H65" s="3">
        <f t="shared" si="15"/>
        <v>1.9749999999999988</v>
      </c>
      <c r="I65" s="3">
        <f t="shared" si="15"/>
        <v>9.4865174999999941E-2</v>
      </c>
      <c r="J65" s="3">
        <f t="shared" si="15"/>
        <v>7.05</v>
      </c>
      <c r="K65" s="3">
        <f t="shared" si="15"/>
        <v>1.825</v>
      </c>
      <c r="L65" s="3">
        <f t="shared" si="15"/>
        <v>3.6572999999999994E-2</v>
      </c>
      <c r="M65" s="3">
        <f t="shared" si="15"/>
        <v>5.2249999999999996</v>
      </c>
      <c r="N65" s="3">
        <f t="shared" si="15"/>
        <v>6.3536000000000009E-2</v>
      </c>
      <c r="O65" s="3">
        <f t="shared" si="15"/>
        <v>21.274999999999999</v>
      </c>
      <c r="P65" s="3">
        <f t="shared" si="15"/>
        <v>0.48932500000000001</v>
      </c>
      <c r="Q65" s="8">
        <f t="shared" si="10"/>
        <v>6.4202049989479218E-2</v>
      </c>
      <c r="R65" s="8">
        <f t="shared" si="11"/>
        <v>4.829047950010521</v>
      </c>
      <c r="S65" s="3"/>
      <c r="T65" s="3"/>
      <c r="U65" s="24">
        <f>AVERAGE(U60,U55)</f>
        <v>1.62786225</v>
      </c>
      <c r="V65" s="8"/>
      <c r="W65" s="25">
        <f t="shared" si="14"/>
        <v>9.5927399999999996E-2</v>
      </c>
      <c r="X65" s="25">
        <f t="shared" si="14"/>
        <v>7.2153150000000004</v>
      </c>
      <c r="Z65" s="3">
        <f t="shared" si="12"/>
        <v>1.3294970489853872E-2</v>
      </c>
    </row>
    <row r="66" spans="2:26" ht="15.75" x14ac:dyDescent="0.4">
      <c r="Z66" s="3">
        <f>AVERAGE(Z51:Z65)</f>
        <v>1.104254984960054E-2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8B72-4F39-429E-BD4A-67B31F701B58}">
  <dimension ref="A1:AA66"/>
  <sheetViews>
    <sheetView zoomScale="86" zoomScaleNormal="86" workbookViewId="0">
      <selection activeCell="D1" sqref="D1:E1048576"/>
    </sheetView>
  </sheetViews>
  <sheetFormatPr defaultRowHeight="14.25" x14ac:dyDescent="0.4"/>
  <cols>
    <col min="1" max="18" width="9.06640625" style="10"/>
    <col min="19" max="19" width="9.06640625" style="28"/>
    <col min="20" max="16384" width="9.06640625" style="10"/>
  </cols>
  <sheetData>
    <row r="1" spans="1:27" ht="15.75" x14ac:dyDescent="0.4">
      <c r="U1" s="19" t="s">
        <v>123</v>
      </c>
    </row>
    <row r="2" spans="1:27" s="3" customFormat="1" ht="18" x14ac:dyDescent="0.4">
      <c r="A2" s="3" t="s">
        <v>124</v>
      </c>
      <c r="B2" s="3" t="s">
        <v>125</v>
      </c>
      <c r="C2" s="4" t="s">
        <v>126</v>
      </c>
      <c r="D2" s="5" t="s">
        <v>79</v>
      </c>
      <c r="E2" s="5" t="s">
        <v>80</v>
      </c>
      <c r="F2" s="5" t="s">
        <v>81</v>
      </c>
      <c r="G2" s="5" t="s">
        <v>80</v>
      </c>
      <c r="H2" s="5" t="s">
        <v>127</v>
      </c>
      <c r="I2" s="5" t="s">
        <v>80</v>
      </c>
      <c r="J2" s="5" t="s">
        <v>128</v>
      </c>
      <c r="K2" s="5" t="s">
        <v>82</v>
      </c>
      <c r="L2" s="5" t="s">
        <v>80</v>
      </c>
      <c r="M2" s="5" t="s">
        <v>83</v>
      </c>
      <c r="N2" s="5" t="s">
        <v>80</v>
      </c>
      <c r="O2" s="5" t="s">
        <v>84</v>
      </c>
      <c r="P2" s="5" t="s">
        <v>80</v>
      </c>
      <c r="Q2" s="5" t="s">
        <v>87</v>
      </c>
      <c r="R2" s="5" t="s">
        <v>129</v>
      </c>
      <c r="S2" s="22" t="s">
        <v>130</v>
      </c>
      <c r="U2" s="4" t="s">
        <v>131</v>
      </c>
      <c r="V2" s="23" t="s">
        <v>132</v>
      </c>
    </row>
    <row r="3" spans="1:27" s="3" customFormat="1" ht="15.75" x14ac:dyDescent="0.4">
      <c r="A3" s="4" t="s">
        <v>91</v>
      </c>
      <c r="B3" s="6" t="s">
        <v>133</v>
      </c>
      <c r="C3" s="4" t="s">
        <v>89</v>
      </c>
      <c r="D3" s="8">
        <v>0.55000000000000004</v>
      </c>
      <c r="E3" s="8">
        <f>D3*0.06018</f>
        <v>3.3099000000000003E-2</v>
      </c>
      <c r="F3" s="8">
        <v>1.1000000000000001</v>
      </c>
      <c r="G3" s="8">
        <f>F3*0.035457</f>
        <v>3.9002700000000008E-2</v>
      </c>
      <c r="H3" s="8">
        <f>(J3+R3)-Q3</f>
        <v>0.64999999999999947</v>
      </c>
      <c r="I3" s="8">
        <f>H3*0.048033</f>
        <v>3.1221449999999974E-2</v>
      </c>
      <c r="J3" s="8">
        <v>0.8</v>
      </c>
      <c r="K3" s="8">
        <v>0.25</v>
      </c>
      <c r="L3" s="8">
        <f>K3*0.02004</f>
        <v>5.0099999999999997E-3</v>
      </c>
      <c r="M3" s="8">
        <f>J3-K3</f>
        <v>0.55000000000000004</v>
      </c>
      <c r="N3" s="8">
        <f>M3*0.01216</f>
        <v>6.6880000000000012E-3</v>
      </c>
      <c r="O3" s="8">
        <f>D3+F3+H3-J3</f>
        <v>1.4999999999999998</v>
      </c>
      <c r="P3" s="8">
        <f>O3*0.023</f>
        <v>3.4499999999999996E-2</v>
      </c>
      <c r="Q3" s="8">
        <v>5.15</v>
      </c>
      <c r="R3" s="8">
        <v>5</v>
      </c>
      <c r="S3" s="24">
        <f>E3+G3+I3+L3+N3+P3</f>
        <v>0.14952114999999999</v>
      </c>
      <c r="U3" s="25">
        <v>5.9105E-3</v>
      </c>
      <c r="V3" s="26">
        <v>0.58460000000000001</v>
      </c>
      <c r="X3" s="3">
        <f>+U3/V3</f>
        <v>1.011033185083818E-2</v>
      </c>
      <c r="Y3" s="26"/>
    </row>
    <row r="4" spans="1:27" s="3" customFormat="1" ht="15.75" x14ac:dyDescent="0.4">
      <c r="A4" s="4"/>
      <c r="B4" s="6" t="s">
        <v>133</v>
      </c>
      <c r="C4" s="4" t="s">
        <v>90</v>
      </c>
      <c r="D4" s="8">
        <v>0.57499999999999996</v>
      </c>
      <c r="E4" s="8">
        <v>3.4603499999999995E-2</v>
      </c>
      <c r="F4" s="8">
        <v>1.75</v>
      </c>
      <c r="G4" s="8">
        <v>6.2049750000000008E-2</v>
      </c>
      <c r="H4" s="8">
        <v>0.72499999999999998</v>
      </c>
      <c r="I4" s="8">
        <v>3.4823925000000006E-2</v>
      </c>
      <c r="J4" s="8">
        <v>0.75</v>
      </c>
      <c r="K4" s="8">
        <v>0.2</v>
      </c>
      <c r="L4" s="8">
        <v>4.0080000000000003E-3</v>
      </c>
      <c r="M4" s="8">
        <v>0.55000000000000004</v>
      </c>
      <c r="N4" s="8">
        <v>6.6880000000000012E-3</v>
      </c>
      <c r="O4" s="8">
        <v>2.2999999999999998</v>
      </c>
      <c r="P4" s="8">
        <v>5.2900000000000003E-2</v>
      </c>
      <c r="Q4" s="8">
        <v>5.0250000000000004</v>
      </c>
      <c r="R4" s="8">
        <v>5</v>
      </c>
      <c r="S4" s="27">
        <v>0.19507317500000004</v>
      </c>
      <c r="U4" s="25">
        <v>1.8150900000000001E-2</v>
      </c>
      <c r="V4" s="26">
        <v>1.64147</v>
      </c>
      <c r="X4" s="3">
        <f t="shared" ref="X4:X17" si="0">+U4/V4</f>
        <v>1.1057710466837652E-2</v>
      </c>
      <c r="Y4" s="26"/>
    </row>
    <row r="5" spans="1:27" s="3" customFormat="1" ht="15.75" x14ac:dyDescent="0.4">
      <c r="A5" s="4"/>
      <c r="B5" s="6" t="s">
        <v>133</v>
      </c>
      <c r="C5" s="4" t="s">
        <v>91</v>
      </c>
      <c r="D5" s="8">
        <v>0.55000000000000004</v>
      </c>
      <c r="E5" s="8">
        <f>D5*0.06018</f>
        <v>3.3099000000000003E-2</v>
      </c>
      <c r="F5" s="8">
        <v>2</v>
      </c>
      <c r="G5" s="8">
        <f>F5*0.035457</f>
        <v>7.0914000000000005E-2</v>
      </c>
      <c r="H5" s="8">
        <f>(J5+R5)-Q5</f>
        <v>0.70000000000000018</v>
      </c>
      <c r="I5" s="8">
        <f>H5*0.048033</f>
        <v>3.362310000000001E-2</v>
      </c>
      <c r="J5" s="8">
        <v>0.7</v>
      </c>
      <c r="K5" s="8">
        <v>0.2</v>
      </c>
      <c r="L5" s="8">
        <f>K5*0.02004</f>
        <v>4.0080000000000003E-3</v>
      </c>
      <c r="M5" s="8">
        <f>J5-K5</f>
        <v>0.49999999999999994</v>
      </c>
      <c r="N5" s="8">
        <f>M5*0.01216</f>
        <v>6.0799999999999995E-3</v>
      </c>
      <c r="O5" s="8">
        <f>D5+F5+H5-J5</f>
        <v>2.5499999999999998</v>
      </c>
      <c r="P5" s="8">
        <f>O5*0.023</f>
        <v>5.8649999999999994E-2</v>
      </c>
      <c r="Q5" s="8">
        <v>5</v>
      </c>
      <c r="R5" s="8">
        <v>5</v>
      </c>
      <c r="S5" s="24">
        <f>E5+G5+I5+L5+N5+P5</f>
        <v>0.2063741</v>
      </c>
      <c r="U5" s="25">
        <v>1.3816750000000003E-2</v>
      </c>
      <c r="V5" s="26">
        <v>1.2211233333333333</v>
      </c>
      <c r="X5" s="3">
        <f t="shared" si="0"/>
        <v>1.1314786658186317E-2</v>
      </c>
      <c r="Y5" s="26"/>
    </row>
    <row r="6" spans="1:27" s="3" customFormat="1" ht="15.75" x14ac:dyDescent="0.4">
      <c r="A6" s="4"/>
      <c r="B6" s="6" t="s">
        <v>133</v>
      </c>
      <c r="C6" s="4" t="s">
        <v>92</v>
      </c>
      <c r="D6" s="8">
        <v>0.6</v>
      </c>
      <c r="E6" s="8">
        <f>D6*0.06018</f>
        <v>3.6107999999999994E-2</v>
      </c>
      <c r="F6" s="8">
        <v>2.1</v>
      </c>
      <c r="G6" s="8">
        <f>F6*0.035457</f>
        <v>7.4459700000000004E-2</v>
      </c>
      <c r="H6" s="8">
        <f>(J6+R6)-Q6</f>
        <v>0.70000000000000018</v>
      </c>
      <c r="I6" s="8">
        <f>H6*0.048033</f>
        <v>3.362310000000001E-2</v>
      </c>
      <c r="J6" s="8">
        <v>0.65</v>
      </c>
      <c r="K6" s="8">
        <v>0.2</v>
      </c>
      <c r="L6" s="8">
        <f>K6*0.02004</f>
        <v>4.0080000000000003E-3</v>
      </c>
      <c r="M6" s="8">
        <f>J6-K6</f>
        <v>0.45</v>
      </c>
      <c r="N6" s="8">
        <f>M6*0.01216</f>
        <v>5.4720000000000003E-3</v>
      </c>
      <c r="O6" s="8">
        <f>D6+F6+H6-J6</f>
        <v>2.7500000000000004</v>
      </c>
      <c r="P6" s="8">
        <f>O6*0.023</f>
        <v>6.3250000000000015E-2</v>
      </c>
      <c r="Q6" s="8">
        <v>4.95</v>
      </c>
      <c r="R6" s="8">
        <v>5</v>
      </c>
      <c r="S6" s="24">
        <f>E6+G6+I6+L6+N6+P6</f>
        <v>0.21692080000000002</v>
      </c>
      <c r="U6" s="25">
        <v>1.7436499999999997E-2</v>
      </c>
      <c r="V6" s="26">
        <v>1.2256266666666666</v>
      </c>
      <c r="X6" s="3">
        <f t="shared" si="0"/>
        <v>1.4226599725854527E-2</v>
      </c>
      <c r="Y6" s="26"/>
    </row>
    <row r="7" spans="1:27" s="3" customFormat="1" ht="15.75" x14ac:dyDescent="0.4">
      <c r="A7" s="4"/>
      <c r="B7" s="6" t="s">
        <v>133</v>
      </c>
      <c r="C7" s="4" t="s">
        <v>93</v>
      </c>
      <c r="D7" s="8">
        <v>0.6</v>
      </c>
      <c r="E7" s="8">
        <f>D7*0.06018</f>
        <v>3.6107999999999994E-2</v>
      </c>
      <c r="F7" s="8">
        <v>1.85</v>
      </c>
      <c r="G7" s="8">
        <f>F7*0.035457</f>
        <v>6.5595450000000013E-2</v>
      </c>
      <c r="H7" s="8">
        <f>(J7+R7)-Q7</f>
        <v>0.59999999999999964</v>
      </c>
      <c r="I7" s="8">
        <f>H7*0.048033</f>
        <v>2.8819799999999982E-2</v>
      </c>
      <c r="J7" s="8">
        <v>0.6</v>
      </c>
      <c r="K7" s="8">
        <v>0.2</v>
      </c>
      <c r="L7" s="8">
        <f>K7*0.02004</f>
        <v>4.0080000000000003E-3</v>
      </c>
      <c r="M7" s="8">
        <f>J7-K7</f>
        <v>0.39999999999999997</v>
      </c>
      <c r="N7" s="8">
        <f>M7*0.01216</f>
        <v>4.8640000000000003E-3</v>
      </c>
      <c r="O7" s="8">
        <f>D7+F7+H7-J7</f>
        <v>2.4499999999999997</v>
      </c>
      <c r="P7" s="8">
        <f>O7*0.023</f>
        <v>5.634999999999999E-2</v>
      </c>
      <c r="Q7" s="8">
        <v>5</v>
      </c>
      <c r="R7" s="8">
        <v>5</v>
      </c>
      <c r="S7" s="24">
        <f>E7+G7+I7+L7+N7+P7</f>
        <v>0.19574524999999998</v>
      </c>
      <c r="U7" s="25">
        <v>1.2887999999999998E-2</v>
      </c>
      <c r="V7" s="26">
        <v>0.92888333333333339</v>
      </c>
      <c r="X7" s="3">
        <f t="shared" si="0"/>
        <v>1.3874724131125183E-2</v>
      </c>
      <c r="Y7" s="26"/>
    </row>
    <row r="8" spans="1:27" s="3" customFormat="1" ht="15.75" x14ac:dyDescent="0.4">
      <c r="A8" s="4" t="s">
        <v>104</v>
      </c>
      <c r="B8" s="6" t="s">
        <v>133</v>
      </c>
      <c r="C8" s="4" t="s">
        <v>89</v>
      </c>
      <c r="D8" s="3">
        <v>0.35</v>
      </c>
      <c r="E8" s="3">
        <f>D8*0.06018</f>
        <v>2.1062999999999998E-2</v>
      </c>
      <c r="F8" s="3">
        <v>2.2000000000000002</v>
      </c>
      <c r="G8" s="3">
        <f>F8*0.035457</f>
        <v>7.8005400000000016E-2</v>
      </c>
      <c r="H8" s="3">
        <f>(J8+R8)-Q8</f>
        <v>0.70000000000000018</v>
      </c>
      <c r="I8" s="8">
        <f>H8*0.048033</f>
        <v>3.362310000000001E-2</v>
      </c>
      <c r="J8" s="8">
        <v>0.7</v>
      </c>
      <c r="K8" s="8">
        <v>0.25</v>
      </c>
      <c r="L8" s="8">
        <f>K8*0.02004</f>
        <v>5.0099999999999997E-3</v>
      </c>
      <c r="M8" s="8">
        <f>J8-K8</f>
        <v>0.44999999999999996</v>
      </c>
      <c r="N8" s="8">
        <f>M8*0.01216</f>
        <v>5.4719999999999994E-3</v>
      </c>
      <c r="O8" s="3">
        <f>D8+F8+H8-J8</f>
        <v>2.5500000000000007</v>
      </c>
      <c r="P8" s="3">
        <f>O8*0.023</f>
        <v>5.8650000000000015E-2</v>
      </c>
      <c r="Q8" s="3">
        <v>5</v>
      </c>
      <c r="R8" s="3">
        <v>5</v>
      </c>
      <c r="S8" s="24">
        <f>E8+G8+I8+L8+N8+P8</f>
        <v>0.20182350000000002</v>
      </c>
      <c r="U8" s="25">
        <v>1.2602250000000001E-2</v>
      </c>
      <c r="V8" s="26">
        <v>0.88534333333333326</v>
      </c>
      <c r="X8" s="3">
        <f t="shared" si="0"/>
        <v>1.4234308347420777E-2</v>
      </c>
      <c r="Y8" s="26"/>
    </row>
    <row r="9" spans="1:27" s="3" customFormat="1" ht="15.75" x14ac:dyDescent="0.4">
      <c r="A9" s="4"/>
      <c r="B9" s="6" t="s">
        <v>133</v>
      </c>
      <c r="C9" s="4" t="s">
        <v>90</v>
      </c>
      <c r="D9" s="8">
        <v>0.45</v>
      </c>
      <c r="E9" s="8">
        <v>2.7081000000000001E-2</v>
      </c>
      <c r="F9" s="8">
        <v>3.625</v>
      </c>
      <c r="G9" s="8">
        <v>0.12853162500000001</v>
      </c>
      <c r="H9" s="8">
        <v>1</v>
      </c>
      <c r="I9" s="8">
        <v>4.8032999999999999E-2</v>
      </c>
      <c r="J9" s="8">
        <v>1</v>
      </c>
      <c r="K9" s="8">
        <v>0.32500000000000001</v>
      </c>
      <c r="L9" s="8">
        <v>6.5129999999999997E-3</v>
      </c>
      <c r="M9" s="8">
        <v>0.67500000000000004</v>
      </c>
      <c r="N9" s="8">
        <v>8.208E-3</v>
      </c>
      <c r="O9" s="8">
        <v>4.0750000000000002</v>
      </c>
      <c r="P9" s="8">
        <v>9.3725000000000003E-2</v>
      </c>
      <c r="Q9" s="8">
        <v>5</v>
      </c>
      <c r="R9" s="8">
        <v>5</v>
      </c>
      <c r="S9" s="27">
        <v>0.31209162499999998</v>
      </c>
      <c r="U9" s="25">
        <v>2.300895E-2</v>
      </c>
      <c r="V9" s="26">
        <v>1.2521500000000001</v>
      </c>
      <c r="X9" s="3">
        <f t="shared" si="0"/>
        <v>1.837555404703909E-2</v>
      </c>
      <c r="Y9" s="26"/>
    </row>
    <row r="10" spans="1:27" s="3" customFormat="1" ht="15.75" x14ac:dyDescent="0.4">
      <c r="A10" s="4"/>
      <c r="B10" s="6" t="s">
        <v>133</v>
      </c>
      <c r="C10" s="4" t="s">
        <v>91</v>
      </c>
      <c r="D10" s="3">
        <v>0.4</v>
      </c>
      <c r="E10" s="3">
        <f>D10*0.06018</f>
        <v>2.4072E-2</v>
      </c>
      <c r="F10" s="3">
        <v>4.5</v>
      </c>
      <c r="G10" s="3">
        <f>F10*0.035457</f>
        <v>0.15955650000000002</v>
      </c>
      <c r="H10" s="3">
        <f>(J10+R10)-Q10</f>
        <v>0.70000000000000018</v>
      </c>
      <c r="I10" s="8">
        <f>H10*0.048033</f>
        <v>3.362310000000001E-2</v>
      </c>
      <c r="J10" s="8">
        <v>0.9</v>
      </c>
      <c r="K10" s="8">
        <v>0.3</v>
      </c>
      <c r="L10" s="8">
        <f>K10*0.02004</f>
        <v>6.0119999999999991E-3</v>
      </c>
      <c r="M10" s="8">
        <f>J10-K10</f>
        <v>0.60000000000000009</v>
      </c>
      <c r="N10" s="8">
        <f>M10*0.01216</f>
        <v>7.2960000000000013E-3</v>
      </c>
      <c r="O10" s="3">
        <f>D10+F10+H10-J10</f>
        <v>4.7</v>
      </c>
      <c r="P10" s="3">
        <f>O10*0.023</f>
        <v>0.1081</v>
      </c>
      <c r="Q10" s="3">
        <v>5.2</v>
      </c>
      <c r="R10" s="3">
        <v>5</v>
      </c>
      <c r="S10" s="24">
        <f>E10+G10+I10+L10+N10+P10</f>
        <v>0.33865960000000006</v>
      </c>
      <c r="U10" s="25">
        <v>2.9224400000000001E-2</v>
      </c>
      <c r="V10" s="26">
        <v>2.0683166666666666</v>
      </c>
      <c r="X10" s="3">
        <f t="shared" si="0"/>
        <v>1.4129557853004458E-2</v>
      </c>
      <c r="Y10" s="26"/>
    </row>
    <row r="11" spans="1:27" s="3" customFormat="1" ht="15.75" x14ac:dyDescent="0.4">
      <c r="A11" s="4"/>
      <c r="B11" s="6" t="s">
        <v>133</v>
      </c>
      <c r="C11" s="4" t="s">
        <v>92</v>
      </c>
      <c r="D11" s="3">
        <v>0.55000000000000004</v>
      </c>
      <c r="E11" s="3">
        <f>D11*0.06018</f>
        <v>3.3099000000000003E-2</v>
      </c>
      <c r="F11" s="3">
        <v>5.0999999999999996</v>
      </c>
      <c r="G11" s="3">
        <f>F11*0.035457</f>
        <v>0.18083070000000001</v>
      </c>
      <c r="H11" s="3">
        <f>(J11+R11)-Q11</f>
        <v>0.94999999999999929</v>
      </c>
      <c r="I11" s="8">
        <f>H11*0.048033</f>
        <v>4.5631349999999966E-2</v>
      </c>
      <c r="J11" s="8">
        <v>1.1000000000000001</v>
      </c>
      <c r="K11" s="8">
        <v>0.35</v>
      </c>
      <c r="L11" s="8">
        <f>K11*0.02004</f>
        <v>7.0139999999999994E-3</v>
      </c>
      <c r="M11" s="8">
        <f>J11-K11</f>
        <v>0.75000000000000011</v>
      </c>
      <c r="N11" s="8">
        <f>M11*0.01216</f>
        <v>9.1200000000000014E-3</v>
      </c>
      <c r="O11" s="3">
        <f>D11+F11+H11-J11</f>
        <v>5.4999999999999982</v>
      </c>
      <c r="P11" s="3">
        <f>O11*0.023</f>
        <v>0.12649999999999995</v>
      </c>
      <c r="Q11" s="3">
        <v>5.15</v>
      </c>
      <c r="R11" s="3">
        <v>5</v>
      </c>
      <c r="S11" s="24">
        <f>E11+G11+I11+L11+N11+P11</f>
        <v>0.40219504999999994</v>
      </c>
      <c r="U11" s="25">
        <v>3.0700850000000002E-2</v>
      </c>
      <c r="V11" s="26">
        <v>1.9692366666666665</v>
      </c>
      <c r="X11" s="3">
        <f t="shared" si="0"/>
        <v>1.5590228701138006E-2</v>
      </c>
      <c r="Y11" s="26"/>
    </row>
    <row r="12" spans="1:27" s="3" customFormat="1" ht="15.75" x14ac:dyDescent="0.4">
      <c r="A12" s="4"/>
      <c r="B12" s="6" t="s">
        <v>133</v>
      </c>
      <c r="C12" s="4" t="s">
        <v>93</v>
      </c>
      <c r="D12" s="3">
        <v>0.55000000000000004</v>
      </c>
      <c r="E12" s="3">
        <f>D12*0.06018</f>
        <v>3.3099000000000003E-2</v>
      </c>
      <c r="F12" s="3">
        <v>4.9000000000000004</v>
      </c>
      <c r="G12" s="3">
        <f>F12*0.035457</f>
        <v>0.17373930000000001</v>
      </c>
      <c r="H12" s="3">
        <f>(J12+R12)-Q12</f>
        <v>1</v>
      </c>
      <c r="I12" s="8">
        <f>H12*0.048033</f>
        <v>4.8032999999999999E-2</v>
      </c>
      <c r="J12" s="8">
        <v>1</v>
      </c>
      <c r="K12" s="8">
        <v>0.25</v>
      </c>
      <c r="L12" s="8">
        <f>K12*0.02004</f>
        <v>5.0099999999999997E-3</v>
      </c>
      <c r="M12" s="8">
        <f>J12-K12</f>
        <v>0.75</v>
      </c>
      <c r="N12" s="8">
        <f>M12*0.01216</f>
        <v>9.1199999999999996E-3</v>
      </c>
      <c r="O12" s="3">
        <f>D12+F12+H12-J12</f>
        <v>5.45</v>
      </c>
      <c r="P12" s="3">
        <f>O12*0.023</f>
        <v>0.12534999999999999</v>
      </c>
      <c r="Q12" s="3">
        <v>5</v>
      </c>
      <c r="R12" s="3">
        <v>5</v>
      </c>
      <c r="S12" s="24">
        <f>E12+G12+I12+L12+N12+P12</f>
        <v>0.39435130000000007</v>
      </c>
      <c r="U12" s="25">
        <v>2.58666E-2</v>
      </c>
      <c r="V12" s="26">
        <v>1.8231166666666665</v>
      </c>
      <c r="X12" s="3">
        <f t="shared" si="0"/>
        <v>1.4188121074716375E-2</v>
      </c>
      <c r="Y12" s="26"/>
    </row>
    <row r="13" spans="1:27" ht="15.75" x14ac:dyDescent="0.4">
      <c r="B13" s="6" t="s">
        <v>133</v>
      </c>
      <c r="C13" s="4" t="s">
        <v>89</v>
      </c>
      <c r="D13" s="3">
        <f t="shared" ref="D13:S17" si="1">AVERAGE(D8,D3)</f>
        <v>0.45</v>
      </c>
      <c r="E13" s="3">
        <f t="shared" si="1"/>
        <v>2.7081000000000001E-2</v>
      </c>
      <c r="F13" s="3">
        <f t="shared" si="1"/>
        <v>1.6500000000000001</v>
      </c>
      <c r="G13" s="3">
        <f t="shared" si="1"/>
        <v>5.8504050000000016E-2</v>
      </c>
      <c r="H13" s="3">
        <f t="shared" si="1"/>
        <v>0.67499999999999982</v>
      </c>
      <c r="I13" s="3">
        <f t="shared" si="1"/>
        <v>3.2422274999999993E-2</v>
      </c>
      <c r="J13" s="3">
        <f t="shared" si="1"/>
        <v>0.75</v>
      </c>
      <c r="K13" s="3">
        <f t="shared" si="1"/>
        <v>0.25</v>
      </c>
      <c r="L13" s="3">
        <f t="shared" si="1"/>
        <v>5.0099999999999997E-3</v>
      </c>
      <c r="M13" s="3">
        <f t="shared" si="1"/>
        <v>0.5</v>
      </c>
      <c r="N13" s="3">
        <f t="shared" si="1"/>
        <v>6.0800000000000003E-3</v>
      </c>
      <c r="O13" s="3">
        <f t="shared" si="1"/>
        <v>2.0250000000000004</v>
      </c>
      <c r="P13" s="3">
        <f t="shared" si="1"/>
        <v>4.6575000000000005E-2</v>
      </c>
      <c r="Q13" s="3"/>
      <c r="R13" s="3"/>
      <c r="S13" s="24">
        <f t="shared" si="1"/>
        <v>0.17567232500000002</v>
      </c>
      <c r="U13" s="25">
        <f>AVERAGE(U3,U8)</f>
        <v>9.2563750000000007E-3</v>
      </c>
      <c r="V13" s="25">
        <f>AVERAGE(V3,V8)</f>
        <v>0.73497166666666658</v>
      </c>
      <c r="X13" s="3">
        <f t="shared" si="0"/>
        <v>1.2594192973425282E-2</v>
      </c>
      <c r="Y13" s="25"/>
      <c r="Z13" s="3"/>
      <c r="AA13" s="3"/>
    </row>
    <row r="14" spans="1:27" ht="15.75" x14ac:dyDescent="0.4">
      <c r="B14" s="6" t="s">
        <v>133</v>
      </c>
      <c r="C14" s="4" t="s">
        <v>90</v>
      </c>
      <c r="D14" s="3">
        <f t="shared" si="1"/>
        <v>0.51249999999999996</v>
      </c>
      <c r="E14" s="3">
        <f t="shared" si="1"/>
        <v>3.0842249999999998E-2</v>
      </c>
      <c r="F14" s="3">
        <f t="shared" si="1"/>
        <v>2.6875</v>
      </c>
      <c r="G14" s="3">
        <f t="shared" si="1"/>
        <v>9.5290687500000013E-2</v>
      </c>
      <c r="H14" s="3">
        <f t="shared" si="1"/>
        <v>0.86250000000000004</v>
      </c>
      <c r="I14" s="3">
        <f t="shared" si="1"/>
        <v>4.1428462499999999E-2</v>
      </c>
      <c r="J14" s="3">
        <f t="shared" si="1"/>
        <v>0.875</v>
      </c>
      <c r="K14" s="3">
        <f t="shared" si="1"/>
        <v>0.26250000000000001</v>
      </c>
      <c r="L14" s="3">
        <f t="shared" si="1"/>
        <v>5.2604999999999996E-3</v>
      </c>
      <c r="M14" s="3">
        <f t="shared" si="1"/>
        <v>0.61250000000000004</v>
      </c>
      <c r="N14" s="3">
        <f t="shared" si="1"/>
        <v>7.4480000000000006E-3</v>
      </c>
      <c r="O14" s="3">
        <f t="shared" si="1"/>
        <v>3.1875</v>
      </c>
      <c r="P14" s="3">
        <f t="shared" si="1"/>
        <v>7.3312500000000003E-2</v>
      </c>
      <c r="Q14" s="3"/>
      <c r="R14" s="3"/>
      <c r="S14" s="24">
        <f t="shared" si="1"/>
        <v>0.25358239999999999</v>
      </c>
      <c r="U14" s="25">
        <f t="shared" ref="U14:V17" si="2">AVERAGE(U4,U9)</f>
        <v>2.0579924999999999E-2</v>
      </c>
      <c r="V14" s="25">
        <f t="shared" si="2"/>
        <v>1.4468100000000002</v>
      </c>
      <c r="X14" s="3">
        <f t="shared" si="0"/>
        <v>1.4224345283762206E-2</v>
      </c>
      <c r="Y14" s="25"/>
      <c r="Z14" s="3"/>
      <c r="AA14" s="3"/>
    </row>
    <row r="15" spans="1:27" ht="15.75" x14ac:dyDescent="0.4">
      <c r="B15" s="6" t="s">
        <v>133</v>
      </c>
      <c r="C15" s="4" t="s">
        <v>91</v>
      </c>
      <c r="D15" s="3">
        <f t="shared" si="1"/>
        <v>0.47500000000000003</v>
      </c>
      <c r="E15" s="3">
        <f t="shared" si="1"/>
        <v>2.85855E-2</v>
      </c>
      <c r="F15" s="3">
        <f t="shared" si="1"/>
        <v>3.25</v>
      </c>
      <c r="G15" s="3">
        <f t="shared" si="1"/>
        <v>0.11523525000000001</v>
      </c>
      <c r="H15" s="3">
        <f t="shared" si="1"/>
        <v>0.70000000000000018</v>
      </c>
      <c r="I15" s="3">
        <f t="shared" si="1"/>
        <v>3.362310000000001E-2</v>
      </c>
      <c r="J15" s="3">
        <f t="shared" si="1"/>
        <v>0.8</v>
      </c>
      <c r="K15" s="3">
        <f t="shared" si="1"/>
        <v>0.25</v>
      </c>
      <c r="L15" s="3">
        <f t="shared" si="1"/>
        <v>5.0099999999999997E-3</v>
      </c>
      <c r="M15" s="3">
        <f t="shared" si="1"/>
        <v>0.55000000000000004</v>
      </c>
      <c r="N15" s="3">
        <f t="shared" si="1"/>
        <v>6.6880000000000004E-3</v>
      </c>
      <c r="O15" s="3">
        <f t="shared" si="1"/>
        <v>3.625</v>
      </c>
      <c r="P15" s="3">
        <f t="shared" si="1"/>
        <v>8.3375000000000005E-2</v>
      </c>
      <c r="Q15" s="3"/>
      <c r="R15" s="3"/>
      <c r="S15" s="24">
        <f t="shared" si="1"/>
        <v>0.27251685000000003</v>
      </c>
      <c r="U15" s="25">
        <f t="shared" si="2"/>
        <v>2.1520575E-2</v>
      </c>
      <c r="V15" s="25">
        <f t="shared" si="2"/>
        <v>1.64472</v>
      </c>
      <c r="X15" s="3">
        <f t="shared" si="0"/>
        <v>1.3084643586750329E-2</v>
      </c>
      <c r="Y15" s="25"/>
      <c r="Z15" s="3"/>
      <c r="AA15" s="3"/>
    </row>
    <row r="16" spans="1:27" ht="15.75" x14ac:dyDescent="0.4">
      <c r="B16" s="6" t="s">
        <v>133</v>
      </c>
      <c r="C16" s="4" t="s">
        <v>92</v>
      </c>
      <c r="D16" s="3">
        <f t="shared" si="1"/>
        <v>0.57499999999999996</v>
      </c>
      <c r="E16" s="3">
        <f t="shared" si="1"/>
        <v>3.4603499999999995E-2</v>
      </c>
      <c r="F16" s="3">
        <f t="shared" si="1"/>
        <v>3.5999999999999996</v>
      </c>
      <c r="G16" s="3">
        <f t="shared" si="1"/>
        <v>0.12764520000000001</v>
      </c>
      <c r="H16" s="3">
        <f t="shared" si="1"/>
        <v>0.82499999999999973</v>
      </c>
      <c r="I16" s="3">
        <f t="shared" si="1"/>
        <v>3.9627224999999988E-2</v>
      </c>
      <c r="J16" s="3">
        <f t="shared" si="1"/>
        <v>0.875</v>
      </c>
      <c r="K16" s="3">
        <f t="shared" si="1"/>
        <v>0.27500000000000002</v>
      </c>
      <c r="L16" s="3">
        <f t="shared" si="1"/>
        <v>5.5110000000000003E-3</v>
      </c>
      <c r="M16" s="3">
        <f t="shared" si="1"/>
        <v>0.60000000000000009</v>
      </c>
      <c r="N16" s="3">
        <f t="shared" si="1"/>
        <v>7.2960000000000004E-3</v>
      </c>
      <c r="O16" s="3">
        <f t="shared" si="1"/>
        <v>4.1249999999999991</v>
      </c>
      <c r="P16" s="3">
        <f t="shared" si="1"/>
        <v>9.4874999999999987E-2</v>
      </c>
      <c r="Q16" s="3"/>
      <c r="R16" s="3"/>
      <c r="S16" s="24">
        <f t="shared" si="1"/>
        <v>0.30955792500000001</v>
      </c>
      <c r="U16" s="25">
        <f t="shared" si="2"/>
        <v>2.4068674999999998E-2</v>
      </c>
      <c r="V16" s="25">
        <f t="shared" si="2"/>
        <v>1.5974316666666666</v>
      </c>
      <c r="X16" s="3">
        <f t="shared" si="0"/>
        <v>1.5067107721874383E-2</v>
      </c>
      <c r="Y16" s="25"/>
      <c r="Z16" s="3"/>
      <c r="AA16" s="3"/>
    </row>
    <row r="17" spans="1:27" ht="15.75" x14ac:dyDescent="0.4">
      <c r="B17" s="6" t="s">
        <v>133</v>
      </c>
      <c r="C17" s="4" t="s">
        <v>93</v>
      </c>
      <c r="D17" s="3">
        <f t="shared" si="1"/>
        <v>0.57499999999999996</v>
      </c>
      <c r="E17" s="3">
        <f t="shared" si="1"/>
        <v>3.4603499999999995E-2</v>
      </c>
      <c r="F17" s="3">
        <f t="shared" si="1"/>
        <v>3.375</v>
      </c>
      <c r="G17" s="3">
        <f t="shared" si="1"/>
        <v>0.11966737500000002</v>
      </c>
      <c r="H17" s="3">
        <f t="shared" si="1"/>
        <v>0.79999999999999982</v>
      </c>
      <c r="I17" s="3">
        <f t="shared" si="1"/>
        <v>3.8426399999999993E-2</v>
      </c>
      <c r="J17" s="3">
        <f t="shared" si="1"/>
        <v>0.8</v>
      </c>
      <c r="K17" s="3">
        <f t="shared" si="1"/>
        <v>0.22500000000000001</v>
      </c>
      <c r="L17" s="3">
        <f t="shared" si="1"/>
        <v>4.509E-3</v>
      </c>
      <c r="M17" s="3">
        <f t="shared" si="1"/>
        <v>0.57499999999999996</v>
      </c>
      <c r="N17" s="3">
        <f t="shared" si="1"/>
        <v>6.992E-3</v>
      </c>
      <c r="O17" s="3">
        <f t="shared" si="1"/>
        <v>3.95</v>
      </c>
      <c r="P17" s="3">
        <f t="shared" si="1"/>
        <v>9.0849999999999986E-2</v>
      </c>
      <c r="Q17" s="3"/>
      <c r="R17" s="3"/>
      <c r="S17" s="24">
        <f t="shared" si="1"/>
        <v>0.29504827500000003</v>
      </c>
      <c r="U17" s="25">
        <f t="shared" si="2"/>
        <v>1.93773E-2</v>
      </c>
      <c r="V17" s="25">
        <f t="shared" si="2"/>
        <v>1.3759999999999999</v>
      </c>
      <c r="X17" s="3">
        <f t="shared" si="0"/>
        <v>1.408234011627907E-2</v>
      </c>
      <c r="Y17" s="25"/>
      <c r="Z17" s="3"/>
      <c r="AA17" s="3"/>
    </row>
    <row r="18" spans="1:27" ht="15.75" x14ac:dyDescent="0.4">
      <c r="X18" s="3">
        <f>AVERAGE(X3:X17)</f>
        <v>1.3743636835883456E-2</v>
      </c>
    </row>
    <row r="19" spans="1:27" s="3" customFormat="1" ht="15.75" x14ac:dyDescent="0.4">
      <c r="A19" s="4" t="s">
        <v>105</v>
      </c>
      <c r="B19" s="6" t="s">
        <v>134</v>
      </c>
      <c r="C19" s="4" t="s">
        <v>89</v>
      </c>
      <c r="D19" s="3">
        <v>0.35</v>
      </c>
      <c r="E19" s="3">
        <f>D19*0.06018</f>
        <v>2.1062999999999998E-2</v>
      </c>
      <c r="F19" s="3">
        <v>2.6</v>
      </c>
      <c r="G19" s="3">
        <f>F19*0.035457</f>
        <v>9.2188200000000012E-2</v>
      </c>
      <c r="H19" s="8">
        <f>(J19+R19)-Q19</f>
        <v>1.0500000000000007</v>
      </c>
      <c r="I19" s="8">
        <f>H19*0.048033</f>
        <v>5.0434650000000032E-2</v>
      </c>
      <c r="J19" s="8">
        <v>1.1499999999999999</v>
      </c>
      <c r="K19" s="8">
        <v>0.55000000000000004</v>
      </c>
      <c r="L19" s="8">
        <f>K19*0.02004</f>
        <v>1.1022000000000001E-2</v>
      </c>
      <c r="M19" s="8">
        <f>J19-K19</f>
        <v>0.59999999999999987</v>
      </c>
      <c r="N19" s="8">
        <f>M19*0.01216</f>
        <v>7.2959999999999987E-3</v>
      </c>
      <c r="O19" s="8">
        <f>D19+F19+H19-J19</f>
        <v>2.850000000000001</v>
      </c>
      <c r="P19" s="8">
        <f>O19*0.023</f>
        <v>6.5550000000000025E-2</v>
      </c>
      <c r="Q19" s="3">
        <v>5.0999999999999996</v>
      </c>
      <c r="R19" s="3">
        <v>5</v>
      </c>
      <c r="S19" s="24">
        <f>E19+G19+I19+L19+N19+P19</f>
        <v>0.24755385000000008</v>
      </c>
      <c r="U19" s="25">
        <v>1.279275E-2</v>
      </c>
      <c r="V19" s="26">
        <v>1.0880099999999999</v>
      </c>
    </row>
    <row r="20" spans="1:27" s="3" customFormat="1" ht="15.75" x14ac:dyDescent="0.4">
      <c r="A20" s="4"/>
      <c r="B20" s="6" t="s">
        <v>134</v>
      </c>
      <c r="C20" s="4" t="s">
        <v>90</v>
      </c>
      <c r="D20" s="8">
        <v>0.42499999999999999</v>
      </c>
      <c r="E20" s="8">
        <v>2.5576500000000002E-2</v>
      </c>
      <c r="F20" s="8">
        <v>3.65</v>
      </c>
      <c r="G20" s="8">
        <v>0.12941805000000001</v>
      </c>
      <c r="H20" s="8">
        <v>1.075</v>
      </c>
      <c r="I20" s="8">
        <v>5.1635475000000007E-2</v>
      </c>
      <c r="J20" s="8">
        <v>1.5</v>
      </c>
      <c r="K20" s="8">
        <v>0.57499999999999996</v>
      </c>
      <c r="L20" s="8">
        <v>1.1522999999999999E-2</v>
      </c>
      <c r="M20" s="8">
        <v>0.92500000000000004</v>
      </c>
      <c r="N20" s="8">
        <v>1.1248000000000001E-2</v>
      </c>
      <c r="O20" s="8">
        <v>3.65</v>
      </c>
      <c r="P20" s="8">
        <v>8.3949999999999997E-2</v>
      </c>
      <c r="Q20" s="8">
        <v>5.4249999999999998</v>
      </c>
      <c r="R20" s="8">
        <v>5</v>
      </c>
      <c r="S20" s="27">
        <v>0.31335102500000001</v>
      </c>
      <c r="U20" s="25">
        <v>1.2768949999999999E-2</v>
      </c>
      <c r="V20" s="26">
        <v>1.3692433333333334</v>
      </c>
    </row>
    <row r="21" spans="1:27" s="3" customFormat="1" ht="15.75" x14ac:dyDescent="0.4">
      <c r="A21" s="4"/>
      <c r="B21" s="6" t="s">
        <v>134</v>
      </c>
      <c r="C21" s="4" t="s">
        <v>91</v>
      </c>
      <c r="D21" s="3">
        <v>0.45</v>
      </c>
      <c r="E21" s="3">
        <f>D21*0.06018</f>
        <v>2.7081000000000001E-2</v>
      </c>
      <c r="F21" s="3">
        <v>4.5</v>
      </c>
      <c r="G21" s="3">
        <f>F21*0.035457</f>
        <v>0.15955650000000002</v>
      </c>
      <c r="H21" s="8">
        <f>(J21+R21)-Q21</f>
        <v>1.2000000000000002</v>
      </c>
      <c r="I21" s="8">
        <f>H21*0.048033</f>
        <v>5.7639600000000006E-2</v>
      </c>
      <c r="J21" s="8">
        <v>1.65</v>
      </c>
      <c r="K21" s="8">
        <v>0.65</v>
      </c>
      <c r="L21" s="8">
        <f>K21*0.02004</f>
        <v>1.3025999999999999E-2</v>
      </c>
      <c r="M21" s="8">
        <f>J21-K21</f>
        <v>0.99999999999999989</v>
      </c>
      <c r="N21" s="8">
        <f>M21*0.01216</f>
        <v>1.2159999999999999E-2</v>
      </c>
      <c r="O21" s="8">
        <f>D21+F21+H21-J21</f>
        <v>4.5</v>
      </c>
      <c r="P21" s="8">
        <f>O21*0.023</f>
        <v>0.10349999999999999</v>
      </c>
      <c r="Q21" s="3">
        <v>5.45</v>
      </c>
      <c r="R21" s="3">
        <v>5</v>
      </c>
      <c r="S21" s="24">
        <f>E21+G21+I21+L21+N21+P21</f>
        <v>0.37296309999999999</v>
      </c>
      <c r="U21" s="25">
        <v>1.5364649999999999E-2</v>
      </c>
      <c r="V21" s="26">
        <v>1.5433866666666667</v>
      </c>
    </row>
    <row r="22" spans="1:27" s="3" customFormat="1" ht="15.75" x14ac:dyDescent="0.4">
      <c r="A22" s="4"/>
      <c r="B22" s="6" t="s">
        <v>134</v>
      </c>
      <c r="C22" s="4" t="s">
        <v>92</v>
      </c>
      <c r="D22" s="3">
        <v>0.35</v>
      </c>
      <c r="E22" s="3">
        <f>D22*0.06018</f>
        <v>2.1062999999999998E-2</v>
      </c>
      <c r="F22" s="3">
        <v>4.0999999999999996</v>
      </c>
      <c r="G22" s="3">
        <f>F22*0.035457</f>
        <v>0.14537369999999999</v>
      </c>
      <c r="H22" s="8">
        <f>(J22+R22)-Q22</f>
        <v>1.2999999999999998</v>
      </c>
      <c r="I22" s="8">
        <f>H22*0.048033</f>
        <v>6.2442899999999989E-2</v>
      </c>
      <c r="J22" s="8">
        <v>1.7</v>
      </c>
      <c r="K22" s="8">
        <v>0.5</v>
      </c>
      <c r="L22" s="8">
        <f>K22*0.02004</f>
        <v>1.0019999999999999E-2</v>
      </c>
      <c r="M22" s="8">
        <f>J22-K22</f>
        <v>1.2</v>
      </c>
      <c r="N22" s="8">
        <f>M22*0.01216</f>
        <v>1.4592000000000001E-2</v>
      </c>
      <c r="O22" s="8">
        <f>D22+F22+H22-J22</f>
        <v>4.0499999999999989</v>
      </c>
      <c r="P22" s="8">
        <f>O22*0.023</f>
        <v>9.3149999999999969E-2</v>
      </c>
      <c r="Q22" s="3">
        <v>5.4</v>
      </c>
      <c r="R22" s="3">
        <v>5</v>
      </c>
      <c r="S22" s="24">
        <f>E22+G22+I22+L22+N22+P22</f>
        <v>0.34664159999999994</v>
      </c>
      <c r="U22" s="25">
        <v>1.4102499999999999E-2</v>
      </c>
      <c r="V22" s="26">
        <v>2.1819133333333336</v>
      </c>
    </row>
    <row r="23" spans="1:27" s="3" customFormat="1" ht="15.75" x14ac:dyDescent="0.4">
      <c r="A23" s="4"/>
      <c r="B23" s="6" t="s">
        <v>134</v>
      </c>
      <c r="C23" s="4" t="s">
        <v>93</v>
      </c>
      <c r="D23" s="3">
        <v>0.35</v>
      </c>
      <c r="E23" s="3">
        <f>D23*0.06018</f>
        <v>2.1062999999999998E-2</v>
      </c>
      <c r="F23" s="3">
        <v>4.1500000000000004</v>
      </c>
      <c r="G23" s="3">
        <f>F23*0.035457</f>
        <v>0.14714655000000001</v>
      </c>
      <c r="H23" s="8">
        <f>(J23+R23)-Q23</f>
        <v>0.70000000000000018</v>
      </c>
      <c r="I23" s="8">
        <f>H23*0.048033</f>
        <v>3.362310000000001E-2</v>
      </c>
      <c r="J23" s="8">
        <v>1.05</v>
      </c>
      <c r="K23" s="8">
        <v>0.45</v>
      </c>
      <c r="L23" s="8">
        <f>K23*0.02004</f>
        <v>9.018E-3</v>
      </c>
      <c r="M23" s="8">
        <f>J23-K23</f>
        <v>0.60000000000000009</v>
      </c>
      <c r="N23" s="8">
        <f>M23*0.01216</f>
        <v>7.2960000000000013E-3</v>
      </c>
      <c r="O23" s="8">
        <f>D23+F23+H23-J23</f>
        <v>4.1500000000000004</v>
      </c>
      <c r="P23" s="8">
        <f>O23*0.023</f>
        <v>9.5450000000000007E-2</v>
      </c>
      <c r="Q23" s="3">
        <v>5.35</v>
      </c>
      <c r="R23" s="3">
        <v>5</v>
      </c>
      <c r="S23" s="24">
        <f>E23+G23+I23+L23+N23+P23</f>
        <v>0.31359665000000003</v>
      </c>
      <c r="U23" s="25">
        <v>1.54599E-2</v>
      </c>
      <c r="V23" s="26">
        <v>1.8171133333333334</v>
      </c>
    </row>
    <row r="24" spans="1:27" s="3" customFormat="1" ht="15.75" x14ac:dyDescent="0.4">
      <c r="A24" s="4" t="s">
        <v>106</v>
      </c>
      <c r="B24" s="6" t="s">
        <v>134</v>
      </c>
      <c r="C24" s="4" t="s">
        <v>89</v>
      </c>
      <c r="D24" s="3">
        <v>0.6</v>
      </c>
      <c r="E24" s="3">
        <f>D24*0.06018</f>
        <v>3.6107999999999994E-2</v>
      </c>
      <c r="F24" s="3">
        <v>2.5</v>
      </c>
      <c r="G24" s="3">
        <f>F24*0.035457</f>
        <v>8.8642500000000013E-2</v>
      </c>
      <c r="H24" s="3">
        <f>(J24+R24)-Q24</f>
        <v>0.90000000000000036</v>
      </c>
      <c r="I24" s="8">
        <f>H24*0.048033</f>
        <v>4.3229700000000017E-2</v>
      </c>
      <c r="J24" s="8">
        <v>0.9</v>
      </c>
      <c r="K24" s="8">
        <v>0.3</v>
      </c>
      <c r="L24" s="8">
        <f>K24*0.02004</f>
        <v>6.0119999999999991E-3</v>
      </c>
      <c r="M24" s="8">
        <f>J24-K24</f>
        <v>0.60000000000000009</v>
      </c>
      <c r="N24" s="8">
        <f>M24*0.01216</f>
        <v>7.2960000000000013E-3</v>
      </c>
      <c r="O24" s="3">
        <f>D24+F24+H24-J24</f>
        <v>3.1</v>
      </c>
      <c r="P24" s="3">
        <f>O24*0.023</f>
        <v>7.1300000000000002E-2</v>
      </c>
      <c r="Q24" s="3">
        <v>5</v>
      </c>
      <c r="R24" s="3">
        <v>5</v>
      </c>
      <c r="S24" s="24">
        <f>E24+G24+I24+L24+N24+P24</f>
        <v>0.25258820000000004</v>
      </c>
      <c r="U24" s="25">
        <v>2.5199850000000006E-2</v>
      </c>
      <c r="V24" s="26">
        <v>1.4132766666666665</v>
      </c>
    </row>
    <row r="25" spans="1:27" s="3" customFormat="1" ht="15.75" x14ac:dyDescent="0.4">
      <c r="A25" s="4"/>
      <c r="B25" s="6" t="s">
        <v>134</v>
      </c>
      <c r="C25" s="4" t="s">
        <v>90</v>
      </c>
      <c r="D25" s="8">
        <v>0.55000000000000004</v>
      </c>
      <c r="E25" s="8">
        <v>3.3099000000000003E-2</v>
      </c>
      <c r="F25" s="8">
        <v>3.8</v>
      </c>
      <c r="G25" s="8">
        <v>0.13473660000000001</v>
      </c>
      <c r="H25" s="8">
        <v>0.77500000000000002</v>
      </c>
      <c r="I25" s="8">
        <v>3.7225574999999997E-2</v>
      </c>
      <c r="J25" s="8">
        <v>0.95</v>
      </c>
      <c r="K25" s="8">
        <v>0.27500000000000002</v>
      </c>
      <c r="L25" s="8">
        <v>5.5109999999999994E-3</v>
      </c>
      <c r="M25" s="8">
        <v>0.67500000000000004</v>
      </c>
      <c r="N25" s="8">
        <v>8.208E-3</v>
      </c>
      <c r="O25" s="8">
        <v>4.1749999999999998</v>
      </c>
      <c r="P25" s="8">
        <v>9.6024999999999999E-2</v>
      </c>
      <c r="Q25" s="8">
        <v>5.1749999999999998</v>
      </c>
      <c r="R25" s="8">
        <v>5</v>
      </c>
      <c r="S25" s="27">
        <v>0.31480517499999994</v>
      </c>
      <c r="U25" s="25">
        <v>2.5557099999999999E-2</v>
      </c>
      <c r="V25" s="26">
        <v>2.0037666666666669</v>
      </c>
    </row>
    <row r="26" spans="1:27" s="3" customFormat="1" ht="15.75" x14ac:dyDescent="0.4">
      <c r="A26" s="4"/>
      <c r="B26" s="6" t="s">
        <v>134</v>
      </c>
      <c r="C26" s="4" t="s">
        <v>91</v>
      </c>
      <c r="D26" s="3">
        <v>0.45</v>
      </c>
      <c r="E26" s="3">
        <f>D26*0.06018</f>
        <v>2.7081000000000001E-2</v>
      </c>
      <c r="F26" s="3">
        <v>4.0999999999999996</v>
      </c>
      <c r="G26" s="3">
        <f>F26*0.035457</f>
        <v>0.14537369999999999</v>
      </c>
      <c r="H26" s="3">
        <f>(J26+R26)-Q26</f>
        <v>0.75</v>
      </c>
      <c r="I26" s="8">
        <f>H26*0.048033</f>
        <v>3.6024750000000001E-2</v>
      </c>
      <c r="J26" s="8">
        <v>0.95</v>
      </c>
      <c r="K26" s="8">
        <v>0.25</v>
      </c>
      <c r="L26" s="8">
        <f>K26*0.02004</f>
        <v>5.0099999999999997E-3</v>
      </c>
      <c r="M26" s="8">
        <f>J26-K26</f>
        <v>0.7</v>
      </c>
      <c r="N26" s="8">
        <f>M26*0.01216</f>
        <v>8.5120000000000005E-3</v>
      </c>
      <c r="O26" s="3">
        <f>D26+F26+H26-J26</f>
        <v>4.3499999999999996</v>
      </c>
      <c r="P26" s="3">
        <f>O26*0.023</f>
        <v>0.10004999999999999</v>
      </c>
      <c r="Q26" s="3">
        <v>5.2</v>
      </c>
      <c r="R26" s="3">
        <v>5</v>
      </c>
      <c r="S26" s="24">
        <f>E26+G26+I26+L26+N26+P26</f>
        <v>0.32205144999999996</v>
      </c>
      <c r="U26" s="25">
        <v>2.7843200000000002E-2</v>
      </c>
      <c r="V26" s="26">
        <v>3.0631400000000002</v>
      </c>
    </row>
    <row r="27" spans="1:27" s="3" customFormat="1" ht="15.75" x14ac:dyDescent="0.4">
      <c r="A27" s="4"/>
      <c r="B27" s="6" t="s">
        <v>134</v>
      </c>
      <c r="C27" s="4" t="s">
        <v>92</v>
      </c>
      <c r="D27" s="3">
        <v>0.55000000000000004</v>
      </c>
      <c r="E27" s="3">
        <f>D27*0.06018</f>
        <v>3.3099000000000003E-2</v>
      </c>
      <c r="F27" s="3">
        <v>4</v>
      </c>
      <c r="G27" s="3">
        <f>F27*0.035457</f>
        <v>0.14182800000000001</v>
      </c>
      <c r="H27" s="3">
        <f>(J27+R27)-Q27</f>
        <v>0.75</v>
      </c>
      <c r="I27" s="8">
        <f>H27*0.048033</f>
        <v>3.6024750000000001E-2</v>
      </c>
      <c r="J27" s="8">
        <v>0.9</v>
      </c>
      <c r="K27" s="8">
        <v>0.25</v>
      </c>
      <c r="L27" s="8">
        <f>K27*0.02004</f>
        <v>5.0099999999999997E-3</v>
      </c>
      <c r="M27" s="8">
        <f>J27-K27</f>
        <v>0.65</v>
      </c>
      <c r="N27" s="8">
        <f>M27*0.01216</f>
        <v>7.9040000000000013E-3</v>
      </c>
      <c r="O27" s="3">
        <f>D27+F27+H27-J27</f>
        <v>4.3999999999999995</v>
      </c>
      <c r="P27" s="3">
        <f>O27*0.023</f>
        <v>0.10119999999999998</v>
      </c>
      <c r="Q27" s="3">
        <v>5.15</v>
      </c>
      <c r="R27" s="3">
        <v>5</v>
      </c>
      <c r="S27" s="24">
        <f>E27+G27+I27+L27+N27+P27</f>
        <v>0.32506574999999993</v>
      </c>
      <c r="U27" s="25">
        <v>3.0272199999999999E-2</v>
      </c>
      <c r="V27" s="26">
        <v>1.9467166666666664</v>
      </c>
    </row>
    <row r="28" spans="1:27" s="3" customFormat="1" ht="15.75" x14ac:dyDescent="0.4">
      <c r="A28" s="4"/>
      <c r="B28" s="6" t="s">
        <v>134</v>
      </c>
      <c r="C28" s="4" t="s">
        <v>93</v>
      </c>
      <c r="D28" s="3">
        <v>0.55000000000000004</v>
      </c>
      <c r="E28" s="3">
        <f>D28*0.06018</f>
        <v>3.3099000000000003E-2</v>
      </c>
      <c r="F28" s="3">
        <v>4.2</v>
      </c>
      <c r="G28" s="3">
        <f>F28*0.035457</f>
        <v>0.14891940000000001</v>
      </c>
      <c r="H28" s="3">
        <f>(J28+R28)-Q28</f>
        <v>0.70000000000000018</v>
      </c>
      <c r="I28" s="8">
        <f>H28*0.048033</f>
        <v>3.362310000000001E-2</v>
      </c>
      <c r="J28" s="8">
        <v>0.9</v>
      </c>
      <c r="K28" s="8">
        <v>0.25</v>
      </c>
      <c r="L28" s="8">
        <f>K28*0.02004</f>
        <v>5.0099999999999997E-3</v>
      </c>
      <c r="M28" s="8">
        <f>J28-K28</f>
        <v>0.65</v>
      </c>
      <c r="N28" s="8">
        <f>M28*0.01216</f>
        <v>7.9040000000000013E-3</v>
      </c>
      <c r="O28" s="3">
        <f>D28+F28+H28-J28</f>
        <v>4.55</v>
      </c>
      <c r="P28" s="3">
        <f>O28*0.023</f>
        <v>0.10464999999999999</v>
      </c>
      <c r="Q28" s="3">
        <v>5.2</v>
      </c>
      <c r="R28" s="3">
        <v>5</v>
      </c>
      <c r="S28" s="24">
        <f>E28+G28+I28+L28+N28+P28</f>
        <v>0.33320550000000004</v>
      </c>
      <c r="U28" s="25">
        <v>2.7509799999999997E-2</v>
      </c>
      <c r="V28" s="26">
        <v>1.7700733333333334</v>
      </c>
    </row>
    <row r="29" spans="1:27" ht="15.75" x14ac:dyDescent="0.4">
      <c r="B29" s="6" t="s">
        <v>134</v>
      </c>
      <c r="C29" s="4" t="s">
        <v>89</v>
      </c>
      <c r="D29" s="3">
        <f t="shared" ref="D29:S33" si="3">AVERAGE(D24,D19)</f>
        <v>0.47499999999999998</v>
      </c>
      <c r="E29" s="3">
        <f t="shared" si="3"/>
        <v>2.8585499999999996E-2</v>
      </c>
      <c r="F29" s="3">
        <f t="shared" si="3"/>
        <v>2.5499999999999998</v>
      </c>
      <c r="G29" s="3">
        <f t="shared" si="3"/>
        <v>9.0415350000000005E-2</v>
      </c>
      <c r="H29" s="3">
        <f t="shared" si="3"/>
        <v>0.97500000000000053</v>
      </c>
      <c r="I29" s="3">
        <f t="shared" si="3"/>
        <v>4.6832175000000024E-2</v>
      </c>
      <c r="J29" s="3">
        <f t="shared" si="3"/>
        <v>1.0249999999999999</v>
      </c>
      <c r="K29" s="3">
        <f t="shared" si="3"/>
        <v>0.42500000000000004</v>
      </c>
      <c r="L29" s="3">
        <f t="shared" si="3"/>
        <v>8.5170000000000003E-3</v>
      </c>
      <c r="M29" s="3">
        <f t="shared" si="3"/>
        <v>0.6</v>
      </c>
      <c r="N29" s="3">
        <f t="shared" si="3"/>
        <v>7.2960000000000004E-3</v>
      </c>
      <c r="O29" s="3">
        <f t="shared" si="3"/>
        <v>2.9750000000000005</v>
      </c>
      <c r="P29" s="3">
        <f t="shared" si="3"/>
        <v>6.8425000000000014E-2</v>
      </c>
      <c r="Q29" s="3"/>
      <c r="R29" s="3"/>
      <c r="S29" s="24">
        <f t="shared" si="3"/>
        <v>0.25007102500000006</v>
      </c>
      <c r="U29" s="25">
        <f>AVERAGE(U19,U24)</f>
        <v>1.8996300000000004E-2</v>
      </c>
      <c r="V29" s="25">
        <f>AVERAGE(V19,V24)</f>
        <v>1.2506433333333331</v>
      </c>
    </row>
    <row r="30" spans="1:27" ht="15.75" x14ac:dyDescent="0.4">
      <c r="B30" s="6" t="s">
        <v>134</v>
      </c>
      <c r="C30" s="4" t="s">
        <v>90</v>
      </c>
      <c r="D30" s="3">
        <f t="shared" si="3"/>
        <v>0.48750000000000004</v>
      </c>
      <c r="E30" s="3">
        <f t="shared" si="3"/>
        <v>2.9337750000000003E-2</v>
      </c>
      <c r="F30" s="3">
        <f t="shared" si="3"/>
        <v>3.7249999999999996</v>
      </c>
      <c r="G30" s="3">
        <f t="shared" si="3"/>
        <v>0.13207732500000002</v>
      </c>
      <c r="H30" s="3">
        <f t="shared" si="3"/>
        <v>0.92500000000000004</v>
      </c>
      <c r="I30" s="3">
        <f t="shared" si="3"/>
        <v>4.4430524999999998E-2</v>
      </c>
      <c r="J30" s="3">
        <f t="shared" si="3"/>
        <v>1.2250000000000001</v>
      </c>
      <c r="K30" s="3">
        <f t="shared" si="3"/>
        <v>0.42499999999999999</v>
      </c>
      <c r="L30" s="3">
        <f t="shared" si="3"/>
        <v>8.5169999999999985E-3</v>
      </c>
      <c r="M30" s="3">
        <f t="shared" si="3"/>
        <v>0.8</v>
      </c>
      <c r="N30" s="3">
        <f t="shared" si="3"/>
        <v>9.7280000000000005E-3</v>
      </c>
      <c r="O30" s="3">
        <f t="shared" si="3"/>
        <v>3.9124999999999996</v>
      </c>
      <c r="P30" s="3">
        <f t="shared" si="3"/>
        <v>8.9987499999999998E-2</v>
      </c>
      <c r="Q30" s="3"/>
      <c r="R30" s="3"/>
      <c r="S30" s="24">
        <f t="shared" si="3"/>
        <v>0.31407809999999997</v>
      </c>
      <c r="U30" s="25">
        <f t="shared" ref="U30:V33" si="4">AVERAGE(U20,U25)</f>
        <v>1.9163025E-2</v>
      </c>
      <c r="V30" s="25">
        <f t="shared" si="4"/>
        <v>1.6865050000000001</v>
      </c>
    </row>
    <row r="31" spans="1:27" ht="15.75" x14ac:dyDescent="0.4">
      <c r="B31" s="6" t="s">
        <v>134</v>
      </c>
      <c r="C31" s="4" t="s">
        <v>91</v>
      </c>
      <c r="D31" s="3">
        <f t="shared" si="3"/>
        <v>0.45</v>
      </c>
      <c r="E31" s="3">
        <f t="shared" si="3"/>
        <v>2.7081000000000001E-2</v>
      </c>
      <c r="F31" s="3">
        <f t="shared" si="3"/>
        <v>4.3</v>
      </c>
      <c r="G31" s="3">
        <f t="shared" si="3"/>
        <v>0.15246510000000002</v>
      </c>
      <c r="H31" s="3">
        <f t="shared" si="3"/>
        <v>0.97500000000000009</v>
      </c>
      <c r="I31" s="3">
        <f t="shared" si="3"/>
        <v>4.6832175000000004E-2</v>
      </c>
      <c r="J31" s="3">
        <f t="shared" si="3"/>
        <v>1.2999999999999998</v>
      </c>
      <c r="K31" s="3">
        <f t="shared" si="3"/>
        <v>0.45</v>
      </c>
      <c r="L31" s="3">
        <f t="shared" si="3"/>
        <v>9.018E-3</v>
      </c>
      <c r="M31" s="3">
        <f t="shared" si="3"/>
        <v>0.84999999999999987</v>
      </c>
      <c r="N31" s="3">
        <f t="shared" si="3"/>
        <v>1.0336E-2</v>
      </c>
      <c r="O31" s="3">
        <f t="shared" si="3"/>
        <v>4.4249999999999998</v>
      </c>
      <c r="P31" s="3">
        <f t="shared" si="3"/>
        <v>0.10177499999999999</v>
      </c>
      <c r="Q31" s="3"/>
      <c r="R31" s="3"/>
      <c r="S31" s="24">
        <f t="shared" si="3"/>
        <v>0.347507275</v>
      </c>
      <c r="U31" s="25">
        <f t="shared" si="4"/>
        <v>2.1603925E-2</v>
      </c>
      <c r="V31" s="25">
        <f t="shared" si="4"/>
        <v>2.3032633333333337</v>
      </c>
    </row>
    <row r="32" spans="1:27" ht="15.75" x14ac:dyDescent="0.4">
      <c r="B32" s="6" t="s">
        <v>134</v>
      </c>
      <c r="C32" s="4" t="s">
        <v>92</v>
      </c>
      <c r="D32" s="3">
        <f t="shared" si="3"/>
        <v>0.45</v>
      </c>
      <c r="E32" s="3">
        <f t="shared" si="3"/>
        <v>2.7081000000000001E-2</v>
      </c>
      <c r="F32" s="3">
        <f t="shared" si="3"/>
        <v>4.05</v>
      </c>
      <c r="G32" s="3">
        <f t="shared" si="3"/>
        <v>0.14360085</v>
      </c>
      <c r="H32" s="3">
        <f t="shared" si="3"/>
        <v>1.0249999999999999</v>
      </c>
      <c r="I32" s="3">
        <f t="shared" si="3"/>
        <v>4.9233824999999995E-2</v>
      </c>
      <c r="J32" s="3">
        <f t="shared" si="3"/>
        <v>1.3</v>
      </c>
      <c r="K32" s="3">
        <f t="shared" si="3"/>
        <v>0.375</v>
      </c>
      <c r="L32" s="3">
        <f t="shared" si="3"/>
        <v>7.5149999999999991E-3</v>
      </c>
      <c r="M32" s="3">
        <f t="shared" si="3"/>
        <v>0.92500000000000004</v>
      </c>
      <c r="N32" s="3">
        <f t="shared" si="3"/>
        <v>1.1248000000000001E-2</v>
      </c>
      <c r="O32" s="3">
        <f t="shared" si="3"/>
        <v>4.2249999999999996</v>
      </c>
      <c r="P32" s="3">
        <f t="shared" si="3"/>
        <v>9.7174999999999984E-2</v>
      </c>
      <c r="Q32" s="3"/>
      <c r="R32" s="3"/>
      <c r="S32" s="24">
        <f t="shared" si="3"/>
        <v>0.33585367499999996</v>
      </c>
      <c r="U32" s="25">
        <f t="shared" si="4"/>
        <v>2.2187349999999998E-2</v>
      </c>
      <c r="V32" s="25">
        <f t="shared" si="4"/>
        <v>2.0643150000000001</v>
      </c>
    </row>
    <row r="33" spans="1:24" ht="15.75" x14ac:dyDescent="0.4">
      <c r="B33" s="6" t="s">
        <v>134</v>
      </c>
      <c r="C33" s="4" t="s">
        <v>93</v>
      </c>
      <c r="D33" s="3">
        <f t="shared" si="3"/>
        <v>0.45</v>
      </c>
      <c r="E33" s="3">
        <f t="shared" si="3"/>
        <v>2.7081000000000001E-2</v>
      </c>
      <c r="F33" s="3">
        <f t="shared" si="3"/>
        <v>4.1750000000000007</v>
      </c>
      <c r="G33" s="3">
        <f t="shared" si="3"/>
        <v>0.14803297500000001</v>
      </c>
      <c r="H33" s="3">
        <f t="shared" si="3"/>
        <v>0.70000000000000018</v>
      </c>
      <c r="I33" s="3">
        <f t="shared" si="3"/>
        <v>3.362310000000001E-2</v>
      </c>
      <c r="J33" s="3">
        <f t="shared" si="3"/>
        <v>0.97500000000000009</v>
      </c>
      <c r="K33" s="3">
        <f t="shared" si="3"/>
        <v>0.35</v>
      </c>
      <c r="L33" s="3">
        <f t="shared" si="3"/>
        <v>7.0139999999999994E-3</v>
      </c>
      <c r="M33" s="3">
        <f t="shared" si="3"/>
        <v>0.625</v>
      </c>
      <c r="N33" s="3">
        <f t="shared" si="3"/>
        <v>7.6000000000000009E-3</v>
      </c>
      <c r="O33" s="3">
        <f t="shared" si="3"/>
        <v>4.3499999999999996</v>
      </c>
      <c r="P33" s="3">
        <f t="shared" si="3"/>
        <v>0.10005</v>
      </c>
      <c r="Q33" s="3"/>
      <c r="R33" s="3"/>
      <c r="S33" s="24">
        <f t="shared" si="3"/>
        <v>0.32340107500000004</v>
      </c>
      <c r="U33" s="25">
        <f t="shared" si="4"/>
        <v>2.148485E-2</v>
      </c>
      <c r="V33" s="25">
        <f t="shared" si="4"/>
        <v>1.7935933333333334</v>
      </c>
    </row>
    <row r="35" spans="1:24" s="3" customFormat="1" ht="15.75" x14ac:dyDescent="0.4">
      <c r="A35" s="4" t="s">
        <v>107</v>
      </c>
      <c r="B35" s="6" t="s">
        <v>135</v>
      </c>
      <c r="C35" s="4" t="s">
        <v>89</v>
      </c>
      <c r="D35" s="3">
        <v>0.5</v>
      </c>
      <c r="E35" s="3">
        <f>D35*0.06018</f>
        <v>3.0089999999999999E-2</v>
      </c>
      <c r="F35" s="3">
        <v>3.4</v>
      </c>
      <c r="G35" s="3">
        <f>F35*0.035457</f>
        <v>0.1205538</v>
      </c>
      <c r="H35" s="8">
        <f>(J35+R35)-Q35</f>
        <v>0.70000000000000018</v>
      </c>
      <c r="I35" s="8">
        <f>H35*0.048033</f>
        <v>3.362310000000001E-2</v>
      </c>
      <c r="J35" s="8">
        <v>0.7</v>
      </c>
      <c r="K35" s="8">
        <v>0.2</v>
      </c>
      <c r="L35" s="8">
        <f>K35*0.02004</f>
        <v>4.0080000000000003E-3</v>
      </c>
      <c r="M35" s="8">
        <f>J35-K35</f>
        <v>0.49999999999999994</v>
      </c>
      <c r="N35" s="8">
        <f>M35*0.01216</f>
        <v>6.0799999999999995E-3</v>
      </c>
      <c r="O35" s="8">
        <f>D35+F35+H35-J35</f>
        <v>3.8999999999999995</v>
      </c>
      <c r="P35" s="8">
        <f>O35*0.023</f>
        <v>8.9699999999999988E-2</v>
      </c>
      <c r="Q35" s="3">
        <v>5</v>
      </c>
      <c r="R35" s="3">
        <v>5</v>
      </c>
      <c r="S35" s="24">
        <f>E35+G35+I35+L35+N35+P35</f>
        <v>0.2840549</v>
      </c>
      <c r="U35" s="25">
        <v>1.4888400000000001E-2</v>
      </c>
      <c r="V35" s="26">
        <v>1.0069399999999999</v>
      </c>
      <c r="X35" s="3">
        <f>+U35/V35</f>
        <v>1.4785786640713451E-2</v>
      </c>
    </row>
    <row r="36" spans="1:24" s="3" customFormat="1" ht="15.75" x14ac:dyDescent="0.4">
      <c r="A36" s="4"/>
      <c r="B36" s="6" t="s">
        <v>135</v>
      </c>
      <c r="C36" s="4" t="s">
        <v>90</v>
      </c>
      <c r="D36" s="8">
        <v>0.5</v>
      </c>
      <c r="E36" s="8">
        <v>3.0089999999999999E-2</v>
      </c>
      <c r="F36" s="8">
        <v>4.8499999999999996</v>
      </c>
      <c r="G36" s="8">
        <v>0.17196644999999999</v>
      </c>
      <c r="H36" s="8">
        <v>0.97499999999999998</v>
      </c>
      <c r="I36" s="8">
        <v>4.6832175000000004E-2</v>
      </c>
      <c r="J36" s="8">
        <v>1</v>
      </c>
      <c r="K36" s="8">
        <v>0.27500000000000002</v>
      </c>
      <c r="L36" s="8">
        <v>5.5109999999999994E-3</v>
      </c>
      <c r="M36" s="8">
        <v>0.72499999999999998</v>
      </c>
      <c r="N36" s="8">
        <v>8.8160000000000009E-3</v>
      </c>
      <c r="O36" s="8">
        <v>5.3250000000000002</v>
      </c>
      <c r="P36" s="8">
        <v>0.12247499999999999</v>
      </c>
      <c r="Q36" s="8">
        <v>5.0250000000000004</v>
      </c>
      <c r="R36" s="8">
        <v>5</v>
      </c>
      <c r="S36" s="27">
        <v>0.38569062500000001</v>
      </c>
      <c r="U36" s="25">
        <v>2.2675600000000004E-2</v>
      </c>
      <c r="V36" s="26">
        <v>2.316523333333333</v>
      </c>
      <c r="X36" s="3">
        <f t="shared" ref="X36:X49" si="5">+U36/V36</f>
        <v>9.7886344047185686E-3</v>
      </c>
    </row>
    <row r="37" spans="1:24" s="3" customFormat="1" ht="15.75" x14ac:dyDescent="0.4">
      <c r="A37" s="4"/>
      <c r="B37" s="6" t="s">
        <v>135</v>
      </c>
      <c r="C37" s="4" t="s">
        <v>91</v>
      </c>
      <c r="D37" s="3">
        <v>0.5</v>
      </c>
      <c r="E37" s="3">
        <f>D37*0.06018</f>
        <v>3.0089999999999999E-2</v>
      </c>
      <c r="F37" s="3">
        <v>6</v>
      </c>
      <c r="G37" s="3">
        <f>F37*0.035457</f>
        <v>0.21274200000000001</v>
      </c>
      <c r="H37" s="8">
        <f>(J37+R37)-Q37</f>
        <v>1.5499999999999998</v>
      </c>
      <c r="I37" s="8">
        <f>H37*0.048033</f>
        <v>7.4451149999999994E-2</v>
      </c>
      <c r="J37" s="8">
        <v>1.6</v>
      </c>
      <c r="K37" s="8">
        <v>0.25</v>
      </c>
      <c r="L37" s="8">
        <f>K37*0.02004</f>
        <v>5.0099999999999997E-3</v>
      </c>
      <c r="M37" s="8">
        <f>J37-K37</f>
        <v>1.35</v>
      </c>
      <c r="N37" s="8">
        <f>M37*0.01216</f>
        <v>1.6416000000000004E-2</v>
      </c>
      <c r="O37" s="8">
        <f>D37+F37+H37-J37</f>
        <v>6.4500000000000011</v>
      </c>
      <c r="P37" s="8">
        <f>O37*0.023</f>
        <v>0.14835000000000001</v>
      </c>
      <c r="Q37" s="3">
        <v>5.05</v>
      </c>
      <c r="R37" s="3">
        <v>5</v>
      </c>
      <c r="S37" s="24">
        <f>E37+G37+I37+L37+N37+P37</f>
        <v>0.48705915</v>
      </c>
      <c r="U37" s="25">
        <v>3.0962800000000002E-2</v>
      </c>
      <c r="V37" s="26">
        <v>3.0105966666666664</v>
      </c>
      <c r="X37" s="3">
        <f t="shared" si="5"/>
        <v>1.028460582010875E-2</v>
      </c>
    </row>
    <row r="38" spans="1:24" s="3" customFormat="1" ht="15.75" x14ac:dyDescent="0.4">
      <c r="A38" s="4"/>
      <c r="B38" s="6" t="s">
        <v>135</v>
      </c>
      <c r="C38" s="4" t="s">
        <v>92</v>
      </c>
      <c r="D38" s="3">
        <v>0.5</v>
      </c>
      <c r="E38" s="3">
        <f>D38*0.06018</f>
        <v>3.0089999999999999E-2</v>
      </c>
      <c r="F38" s="3">
        <v>6</v>
      </c>
      <c r="G38" s="3">
        <f>F38*0.035457</f>
        <v>0.21274200000000001</v>
      </c>
      <c r="H38" s="8">
        <f>(J38+R38)-Q38</f>
        <v>0.70000000000000018</v>
      </c>
      <c r="I38" s="8">
        <f>H38*0.048033</f>
        <v>3.362310000000001E-2</v>
      </c>
      <c r="J38" s="8">
        <v>0.9</v>
      </c>
      <c r="K38" s="8">
        <v>0.25</v>
      </c>
      <c r="L38" s="8">
        <f>K38*0.02004</f>
        <v>5.0099999999999997E-3</v>
      </c>
      <c r="M38" s="8">
        <f>J38-K38</f>
        <v>0.65</v>
      </c>
      <c r="N38" s="8">
        <f>M38*0.01216</f>
        <v>7.9040000000000013E-3</v>
      </c>
      <c r="O38" s="8">
        <f>D38+F38+H38-J38</f>
        <v>6.3</v>
      </c>
      <c r="P38" s="8">
        <f>O38*0.023</f>
        <v>0.1449</v>
      </c>
      <c r="Q38" s="3">
        <v>5.2</v>
      </c>
      <c r="R38" s="3">
        <v>5</v>
      </c>
      <c r="S38" s="24">
        <f>E38+G38+I38+L38+N38+P38</f>
        <v>0.43426910000000007</v>
      </c>
      <c r="U38" s="25">
        <v>2.6914449999999996E-2</v>
      </c>
      <c r="V38" s="26">
        <v>2.9245266666666669</v>
      </c>
      <c r="X38" s="3">
        <f t="shared" si="5"/>
        <v>9.2030106296403496E-3</v>
      </c>
    </row>
    <row r="39" spans="1:24" s="3" customFormat="1" ht="15.75" x14ac:dyDescent="0.4">
      <c r="A39" s="4"/>
      <c r="B39" s="6" t="s">
        <v>135</v>
      </c>
      <c r="C39" s="4" t="s">
        <v>93</v>
      </c>
      <c r="D39" s="3">
        <v>0.5</v>
      </c>
      <c r="E39" s="3">
        <f>D39*0.06018</f>
        <v>3.0089999999999999E-2</v>
      </c>
      <c r="F39" s="3">
        <v>5.8</v>
      </c>
      <c r="G39" s="3">
        <f>F39*0.035457</f>
        <v>0.20565060000000002</v>
      </c>
      <c r="H39" s="8">
        <f>(J39+R39)-Q39</f>
        <v>0.5</v>
      </c>
      <c r="I39" s="8">
        <f>H39*0.048033</f>
        <v>2.40165E-2</v>
      </c>
      <c r="J39" s="8">
        <v>0.85</v>
      </c>
      <c r="K39" s="8">
        <v>0.2</v>
      </c>
      <c r="L39" s="8">
        <f>K39*0.02004</f>
        <v>4.0080000000000003E-3</v>
      </c>
      <c r="M39" s="8">
        <f>J39-K39</f>
        <v>0.64999999999999991</v>
      </c>
      <c r="N39" s="8">
        <f>M39*0.01216</f>
        <v>7.9039999999999996E-3</v>
      </c>
      <c r="O39" s="8">
        <f>D39+F39+H39-J39</f>
        <v>5.95</v>
      </c>
      <c r="P39" s="8">
        <f>O39*0.023</f>
        <v>0.13685</v>
      </c>
      <c r="Q39" s="3">
        <v>5.35</v>
      </c>
      <c r="R39" s="3">
        <v>5</v>
      </c>
      <c r="S39" s="24">
        <f>E39+G39+I39+L39+N39+P39</f>
        <v>0.40851910000000002</v>
      </c>
      <c r="U39" s="25">
        <v>2.5056999999999999E-2</v>
      </c>
      <c r="V39" s="26">
        <v>2.4065966666666667</v>
      </c>
      <c r="X39" s="3">
        <f t="shared" si="5"/>
        <v>1.0411798681125075E-2</v>
      </c>
    </row>
    <row r="40" spans="1:24" s="3" customFormat="1" ht="15.75" x14ac:dyDescent="0.4">
      <c r="A40" s="4" t="s">
        <v>108</v>
      </c>
      <c r="B40" s="6" t="s">
        <v>135</v>
      </c>
      <c r="C40" s="4" t="s">
        <v>89</v>
      </c>
      <c r="D40" s="3">
        <v>0.35</v>
      </c>
      <c r="E40" s="3">
        <f>D40*0.06018</f>
        <v>2.1062999999999998E-2</v>
      </c>
      <c r="F40" s="3">
        <v>4.4000000000000004</v>
      </c>
      <c r="G40" s="3">
        <f>F40*0.035457</f>
        <v>0.15601080000000003</v>
      </c>
      <c r="H40" s="8">
        <f>(J40+R40)-Q40</f>
        <v>0.89999999999999947</v>
      </c>
      <c r="I40" s="8">
        <f>H40*0.048033</f>
        <v>4.3229699999999975E-2</v>
      </c>
      <c r="J40" s="8">
        <v>1.05</v>
      </c>
      <c r="K40" s="8">
        <v>0.5</v>
      </c>
      <c r="L40" s="8">
        <f>K40*0.02004</f>
        <v>1.0019999999999999E-2</v>
      </c>
      <c r="M40" s="8">
        <f>J40-K40</f>
        <v>0.55000000000000004</v>
      </c>
      <c r="N40" s="8">
        <f>M40*0.01216</f>
        <v>6.6880000000000012E-3</v>
      </c>
      <c r="O40" s="8">
        <f>D40+F40+H40-J40</f>
        <v>4.5999999999999996</v>
      </c>
      <c r="P40" s="8">
        <f>O40*0.023</f>
        <v>0.10579999999999999</v>
      </c>
      <c r="Q40" s="3">
        <v>5.15</v>
      </c>
      <c r="R40" s="3">
        <v>5</v>
      </c>
      <c r="S40" s="24">
        <f>E40+G40+I40+L40+N40+P40</f>
        <v>0.34281149999999999</v>
      </c>
      <c r="U40" s="25">
        <v>3.155815E-2</v>
      </c>
      <c r="V40" s="26">
        <v>2.3660666666666668</v>
      </c>
      <c r="X40" s="3">
        <f t="shared" si="5"/>
        <v>1.3337810994336593E-2</v>
      </c>
    </row>
    <row r="41" spans="1:24" s="3" customFormat="1" ht="15.75" x14ac:dyDescent="0.4">
      <c r="A41" s="4"/>
      <c r="B41" s="6" t="s">
        <v>135</v>
      </c>
      <c r="C41" s="4" t="s">
        <v>90</v>
      </c>
      <c r="D41" s="8">
        <v>0.4</v>
      </c>
      <c r="E41" s="8">
        <v>2.4072E-2</v>
      </c>
      <c r="F41" s="8">
        <v>6.55</v>
      </c>
      <c r="G41" s="8">
        <v>0.23224335000000002</v>
      </c>
      <c r="H41" s="8">
        <v>1.175</v>
      </c>
      <c r="I41" s="8">
        <v>5.643877500000001E-2</v>
      </c>
      <c r="J41" s="8">
        <v>1.325</v>
      </c>
      <c r="K41" s="8">
        <v>0.47499999999999998</v>
      </c>
      <c r="L41" s="8">
        <v>9.5189999999999997E-3</v>
      </c>
      <c r="M41" s="8">
        <v>0.85</v>
      </c>
      <c r="N41" s="8">
        <v>1.0336000000000001E-2</v>
      </c>
      <c r="O41" s="8">
        <v>6.8</v>
      </c>
      <c r="P41" s="8">
        <v>0.15640000000000001</v>
      </c>
      <c r="Q41" s="8">
        <v>5.15</v>
      </c>
      <c r="R41" s="8">
        <v>5</v>
      </c>
      <c r="S41" s="27">
        <v>0.48900912500000004</v>
      </c>
      <c r="U41" s="25">
        <v>3.3891949999999997E-2</v>
      </c>
      <c r="V41" s="26">
        <v>2.6683133333333333</v>
      </c>
      <c r="X41" s="3">
        <f t="shared" si="5"/>
        <v>1.2701637988542075E-2</v>
      </c>
    </row>
    <row r="42" spans="1:24" s="3" customFormat="1" ht="15.75" x14ac:dyDescent="0.4">
      <c r="A42" s="4"/>
      <c r="B42" s="6" t="s">
        <v>135</v>
      </c>
      <c r="C42" s="4" t="s">
        <v>91</v>
      </c>
      <c r="D42" s="3">
        <v>0.5</v>
      </c>
      <c r="E42" s="3">
        <f>D42*0.06018</f>
        <v>3.0089999999999999E-2</v>
      </c>
      <c r="F42" s="3">
        <v>7.8</v>
      </c>
      <c r="G42" s="3">
        <f>F42*0.035457</f>
        <v>0.27656459999999999</v>
      </c>
      <c r="H42" s="8">
        <f>(J42+R42)-Q42</f>
        <v>1.8999999999999995</v>
      </c>
      <c r="I42" s="8">
        <f>H42*0.048033</f>
        <v>9.1262699999999974E-2</v>
      </c>
      <c r="J42" s="8">
        <v>2.35</v>
      </c>
      <c r="K42" s="8">
        <v>0.4</v>
      </c>
      <c r="L42" s="8">
        <f>K42*0.02004</f>
        <v>8.0160000000000006E-3</v>
      </c>
      <c r="M42" s="8">
        <f>J42-K42</f>
        <v>1.9500000000000002</v>
      </c>
      <c r="N42" s="8">
        <f>M42*0.01216</f>
        <v>2.3712000000000004E-2</v>
      </c>
      <c r="O42" s="8">
        <f>D42+F42+H42-J42</f>
        <v>7.85</v>
      </c>
      <c r="P42" s="8">
        <f>O42*0.023</f>
        <v>0.18054999999999999</v>
      </c>
      <c r="Q42" s="3">
        <v>5.45</v>
      </c>
      <c r="R42" s="3">
        <v>5</v>
      </c>
      <c r="S42" s="24">
        <f>E42+G42+I42+L42+N42+P42</f>
        <v>0.6101953</v>
      </c>
      <c r="U42" s="25">
        <v>3.6844850000000005E-2</v>
      </c>
      <c r="V42" s="26">
        <v>3.5455400000000004</v>
      </c>
      <c r="X42" s="3">
        <f t="shared" si="5"/>
        <v>1.0391886708371646E-2</v>
      </c>
    </row>
    <row r="43" spans="1:24" s="3" customFormat="1" ht="15.75" x14ac:dyDescent="0.4">
      <c r="A43" s="4"/>
      <c r="B43" s="6" t="s">
        <v>135</v>
      </c>
      <c r="C43" s="4" t="s">
        <v>92</v>
      </c>
      <c r="D43" s="3">
        <v>0.35</v>
      </c>
      <c r="E43" s="3">
        <f>D43*0.06018</f>
        <v>2.1062999999999998E-2</v>
      </c>
      <c r="F43" s="3">
        <v>8.6</v>
      </c>
      <c r="G43" s="3">
        <f>F43*0.035457</f>
        <v>0.30493019999999998</v>
      </c>
      <c r="H43" s="8">
        <f>(J43+R43)-Q43</f>
        <v>1.2999999999999998</v>
      </c>
      <c r="I43" s="8">
        <f>H43*0.048033</f>
        <v>6.2442899999999989E-2</v>
      </c>
      <c r="J43" s="8">
        <v>1.7</v>
      </c>
      <c r="K43" s="8">
        <v>0.55000000000000004</v>
      </c>
      <c r="L43" s="8">
        <f>K43*0.02004</f>
        <v>1.1022000000000001E-2</v>
      </c>
      <c r="M43" s="8">
        <f>J43-K43</f>
        <v>1.1499999999999999</v>
      </c>
      <c r="N43" s="8">
        <f>M43*0.01216</f>
        <v>1.3984E-2</v>
      </c>
      <c r="O43" s="8">
        <f>D43+F43+H43-J43</f>
        <v>8.5500000000000007</v>
      </c>
      <c r="P43" s="8">
        <f>O43*0.023</f>
        <v>0.19665000000000002</v>
      </c>
      <c r="Q43" s="3">
        <v>5.4</v>
      </c>
      <c r="R43" s="3">
        <v>5</v>
      </c>
      <c r="S43" s="24">
        <f>E43+G43+I43+L43+N43+P43</f>
        <v>0.61009209999999992</v>
      </c>
      <c r="U43" s="25">
        <v>3.3487099999999999E-2</v>
      </c>
      <c r="V43" s="26">
        <v>4.1570399999999994</v>
      </c>
      <c r="X43" s="3">
        <f t="shared" si="5"/>
        <v>8.0555154629255443E-3</v>
      </c>
    </row>
    <row r="44" spans="1:24" s="3" customFormat="1" ht="15.75" x14ac:dyDescent="0.4">
      <c r="A44" s="4"/>
      <c r="B44" s="6" t="s">
        <v>135</v>
      </c>
      <c r="C44" s="4" t="s">
        <v>93</v>
      </c>
      <c r="D44" s="3">
        <v>0.35</v>
      </c>
      <c r="E44" s="3">
        <f>D44*0.06018</f>
        <v>2.1062999999999998E-2</v>
      </c>
      <c r="F44" s="3">
        <v>8.9</v>
      </c>
      <c r="G44" s="3">
        <f>F44*0.035457</f>
        <v>0.31556730000000005</v>
      </c>
      <c r="H44" s="8">
        <f>(J44+R44)-Q44</f>
        <v>1.2000000000000002</v>
      </c>
      <c r="I44" s="8">
        <f>H44*0.048033</f>
        <v>5.7639600000000006E-2</v>
      </c>
      <c r="J44" s="8">
        <v>1.65</v>
      </c>
      <c r="K44" s="8">
        <v>0.5</v>
      </c>
      <c r="L44" s="8">
        <f>K44*0.02004</f>
        <v>1.0019999999999999E-2</v>
      </c>
      <c r="M44" s="8">
        <f>J44-K44</f>
        <v>1.1499999999999999</v>
      </c>
      <c r="N44" s="8">
        <f>M44*0.01216</f>
        <v>1.3984E-2</v>
      </c>
      <c r="O44" s="8">
        <f>D44+F44+H44-J44</f>
        <v>8.7999999999999989</v>
      </c>
      <c r="P44" s="8">
        <f>O44*0.023</f>
        <v>0.20239999999999997</v>
      </c>
      <c r="Q44" s="3">
        <v>5.45</v>
      </c>
      <c r="R44" s="3">
        <v>5</v>
      </c>
      <c r="S44" s="24">
        <f>E44+G44+I44+L44+N44+P44</f>
        <v>0.6206739</v>
      </c>
      <c r="U44" s="25">
        <v>2.7319300000000001E-2</v>
      </c>
      <c r="V44" s="26">
        <v>3.6456199999999996</v>
      </c>
      <c r="X44" s="3">
        <f t="shared" si="5"/>
        <v>7.4937322046730063E-3</v>
      </c>
    </row>
    <row r="45" spans="1:24" s="3" customFormat="1" ht="15.75" x14ac:dyDescent="0.4">
      <c r="A45" s="4" t="s">
        <v>109</v>
      </c>
      <c r="B45" s="6" t="s">
        <v>135</v>
      </c>
      <c r="C45" s="4" t="s">
        <v>89</v>
      </c>
      <c r="D45" s="3">
        <v>0.5</v>
      </c>
      <c r="E45" s="3">
        <f>D45*0.06018</f>
        <v>3.0089999999999999E-2</v>
      </c>
      <c r="F45" s="3">
        <v>4</v>
      </c>
      <c r="G45" s="3">
        <f>F45*0.035457</f>
        <v>0.14182800000000001</v>
      </c>
      <c r="H45" s="3">
        <f>(J45+R45)-Q45</f>
        <v>1.2999999999999998</v>
      </c>
      <c r="I45" s="8">
        <f>H45*0.048033</f>
        <v>6.2442899999999989E-2</v>
      </c>
      <c r="J45" s="8">
        <v>1.2</v>
      </c>
      <c r="K45" s="8">
        <v>0.4</v>
      </c>
      <c r="L45" s="8">
        <f>K45*0.02004</f>
        <v>8.0160000000000006E-3</v>
      </c>
      <c r="M45" s="8">
        <f>J45-K45</f>
        <v>0.79999999999999993</v>
      </c>
      <c r="N45" s="8">
        <f>M45*0.01216</f>
        <v>9.7280000000000005E-3</v>
      </c>
      <c r="O45" s="3">
        <f>D45+F45+H45-J45</f>
        <v>4.5999999999999996</v>
      </c>
      <c r="P45" s="3">
        <f>O45*0.023</f>
        <v>0.10579999999999999</v>
      </c>
      <c r="Q45" s="3">
        <v>4.9000000000000004</v>
      </c>
      <c r="R45" s="3">
        <v>5</v>
      </c>
      <c r="S45" s="24">
        <f>E45+G45+I45+L45+N45+P45</f>
        <v>0.35790490000000003</v>
      </c>
      <c r="U45" s="25">
        <v>3.3558549999999999E-2</v>
      </c>
      <c r="V45" s="26">
        <v>1.9627299999999999</v>
      </c>
      <c r="X45" s="3">
        <f t="shared" si="5"/>
        <v>1.7097894259526274E-2</v>
      </c>
    </row>
    <row r="46" spans="1:24" s="3" customFormat="1" ht="15.75" x14ac:dyDescent="0.4">
      <c r="A46" s="4"/>
      <c r="B46" s="6" t="s">
        <v>135</v>
      </c>
      <c r="C46" s="4" t="s">
        <v>90</v>
      </c>
      <c r="D46" s="8">
        <v>0.45</v>
      </c>
      <c r="E46" s="8">
        <v>2.7081000000000001E-2</v>
      </c>
      <c r="F46" s="8">
        <v>5.8</v>
      </c>
      <c r="G46" s="8">
        <v>0.20565060000000002</v>
      </c>
      <c r="H46" s="8">
        <v>1.2749999999999999</v>
      </c>
      <c r="I46" s="8">
        <v>6.1242074999999993E-2</v>
      </c>
      <c r="J46" s="8">
        <v>1.2749999999999999</v>
      </c>
      <c r="K46" s="8">
        <v>0.32500000000000001</v>
      </c>
      <c r="L46" s="8">
        <v>6.5129999999999997E-3</v>
      </c>
      <c r="M46" s="8">
        <v>0.95</v>
      </c>
      <c r="N46" s="8">
        <v>1.1552E-2</v>
      </c>
      <c r="O46" s="8">
        <v>6.25</v>
      </c>
      <c r="P46" s="8">
        <v>0.14374999999999999</v>
      </c>
      <c r="Q46" s="8">
        <v>5</v>
      </c>
      <c r="R46" s="8">
        <v>5</v>
      </c>
      <c r="S46" s="27">
        <v>0.45578867500000003</v>
      </c>
      <c r="U46" s="25">
        <v>3.6320949999999998E-2</v>
      </c>
      <c r="V46" s="26">
        <v>2.3045166666666668</v>
      </c>
      <c r="X46" s="3">
        <f t="shared" si="5"/>
        <v>1.5760766899783757E-2</v>
      </c>
    </row>
    <row r="47" spans="1:24" s="3" customFormat="1" ht="15.75" x14ac:dyDescent="0.4">
      <c r="A47" s="4"/>
      <c r="B47" s="6" t="s">
        <v>135</v>
      </c>
      <c r="C47" s="4" t="s">
        <v>91</v>
      </c>
      <c r="D47" s="3">
        <v>0.5</v>
      </c>
      <c r="E47" s="3">
        <f>D47*0.06018</f>
        <v>3.0089999999999999E-2</v>
      </c>
      <c r="F47" s="3">
        <v>6.6</v>
      </c>
      <c r="G47" s="3">
        <f>F47*0.035457</f>
        <v>0.23401620000000001</v>
      </c>
      <c r="H47" s="3">
        <f>(J47+R47)-Q47</f>
        <v>1.25</v>
      </c>
      <c r="I47" s="8">
        <f>H47*0.048033</f>
        <v>6.0041249999999997E-2</v>
      </c>
      <c r="J47" s="8">
        <v>1.2</v>
      </c>
      <c r="K47" s="8">
        <v>0.3</v>
      </c>
      <c r="L47" s="8">
        <f>K47*0.02004</f>
        <v>6.0119999999999991E-3</v>
      </c>
      <c r="M47" s="8">
        <f>J47-K47</f>
        <v>0.89999999999999991</v>
      </c>
      <c r="N47" s="8">
        <f>M47*0.01216</f>
        <v>1.0943999999999999E-2</v>
      </c>
      <c r="O47" s="3">
        <f>D47+F47+H47-J47</f>
        <v>7.1499999999999995</v>
      </c>
      <c r="P47" s="3">
        <f>O47*0.023</f>
        <v>0.16444999999999999</v>
      </c>
      <c r="Q47" s="3">
        <v>4.95</v>
      </c>
      <c r="R47" s="3">
        <v>5</v>
      </c>
      <c r="S47" s="24">
        <f>E47+G47+I47+L47+N47+P47</f>
        <v>0.50555345000000007</v>
      </c>
      <c r="U47" s="25">
        <v>4.8204150000000001E-2</v>
      </c>
      <c r="V47" s="26">
        <v>4.4512866666666673</v>
      </c>
      <c r="X47" s="3">
        <f t="shared" si="5"/>
        <v>1.0829262100995517E-2</v>
      </c>
    </row>
    <row r="48" spans="1:24" s="3" customFormat="1" ht="15.75" x14ac:dyDescent="0.4">
      <c r="A48" s="4"/>
      <c r="B48" s="6" t="s">
        <v>135</v>
      </c>
      <c r="C48" s="4" t="s">
        <v>92</v>
      </c>
      <c r="D48" s="3">
        <v>0.35</v>
      </c>
      <c r="E48" s="3">
        <f>D48*0.06018</f>
        <v>2.1062999999999998E-2</v>
      </c>
      <c r="F48" s="3">
        <v>6.9</v>
      </c>
      <c r="G48" s="3">
        <f>F48*0.035457</f>
        <v>0.24465330000000002</v>
      </c>
      <c r="H48" s="3">
        <f>(J48+R48)-Q48</f>
        <v>1.0499999999999998</v>
      </c>
      <c r="I48" s="8">
        <f>H48*0.048033</f>
        <v>5.0434649999999991E-2</v>
      </c>
      <c r="J48" s="8">
        <v>1.25</v>
      </c>
      <c r="K48" s="8">
        <v>0.25</v>
      </c>
      <c r="L48" s="8">
        <f>K48*0.02004</f>
        <v>5.0099999999999997E-3</v>
      </c>
      <c r="M48" s="8">
        <f>J48-K48</f>
        <v>1</v>
      </c>
      <c r="N48" s="8">
        <f>M48*0.01216</f>
        <v>1.2160000000000001E-2</v>
      </c>
      <c r="O48" s="3">
        <f>D48+F48+H48-J48</f>
        <v>7.0500000000000007</v>
      </c>
      <c r="P48" s="3">
        <f>O48*0.023</f>
        <v>0.16215000000000002</v>
      </c>
      <c r="Q48" s="3">
        <v>5.2</v>
      </c>
      <c r="R48" s="3">
        <v>5</v>
      </c>
      <c r="S48" s="24">
        <f>E48+G48+I48+L48+N48+P48</f>
        <v>0.49547095000000002</v>
      </c>
      <c r="U48" s="25">
        <v>5.2514499999999999E-2</v>
      </c>
      <c r="V48" s="26">
        <v>3.3834033333333333</v>
      </c>
      <c r="X48" s="3">
        <f t="shared" si="5"/>
        <v>1.5521205965196778E-2</v>
      </c>
    </row>
    <row r="49" spans="1:24" s="3" customFormat="1" ht="15.75" x14ac:dyDescent="0.4">
      <c r="A49" s="4"/>
      <c r="B49" s="6" t="s">
        <v>135</v>
      </c>
      <c r="C49" s="4" t="s">
        <v>93</v>
      </c>
      <c r="D49" s="3">
        <v>0.2</v>
      </c>
      <c r="E49" s="3">
        <f>D49*0.06018</f>
        <v>1.2036E-2</v>
      </c>
      <c r="F49" s="3">
        <v>7.6</v>
      </c>
      <c r="G49" s="3">
        <f>F49*0.035457</f>
        <v>0.26947320000000002</v>
      </c>
      <c r="H49" s="3">
        <f>(J49+R49)-Q49</f>
        <v>1.1000000000000005</v>
      </c>
      <c r="I49" s="8">
        <f>H49*0.048033</f>
        <v>5.2836300000000024E-2</v>
      </c>
      <c r="J49" s="8">
        <v>1.2</v>
      </c>
      <c r="K49" s="8">
        <v>0.4</v>
      </c>
      <c r="L49" s="8">
        <f>K49*0.02004</f>
        <v>8.0160000000000006E-3</v>
      </c>
      <c r="M49" s="8">
        <f>J49-K49</f>
        <v>0.79999999999999993</v>
      </c>
      <c r="N49" s="8">
        <f>M49*0.01216</f>
        <v>9.7280000000000005E-3</v>
      </c>
      <c r="O49" s="3">
        <f>D49+F49+H49-J49</f>
        <v>7.7</v>
      </c>
      <c r="P49" s="3">
        <f>O49*0.023</f>
        <v>0.17710000000000001</v>
      </c>
      <c r="Q49" s="3">
        <v>5.0999999999999996</v>
      </c>
      <c r="R49" s="3">
        <v>5</v>
      </c>
      <c r="S49" s="24">
        <f>E49+G49+I49+L49+N49+P49</f>
        <v>0.52918950000000009</v>
      </c>
      <c r="U49" s="25">
        <v>4.0536049999999997E-2</v>
      </c>
      <c r="V49" s="26">
        <v>3.3528766666666669</v>
      </c>
      <c r="X49" s="3">
        <f t="shared" si="5"/>
        <v>1.2089931730265452E-2</v>
      </c>
    </row>
    <row r="50" spans="1:24" ht="15.75" x14ac:dyDescent="0.4">
      <c r="X50" s="3">
        <f>AVERAGE(X35:X49)</f>
        <v>1.1850232032728189E-2</v>
      </c>
    </row>
    <row r="51" spans="1:24" s="3" customFormat="1" ht="15.75" x14ac:dyDescent="0.4">
      <c r="A51" s="4" t="s">
        <v>110</v>
      </c>
      <c r="B51" s="6" t="s">
        <v>136</v>
      </c>
      <c r="C51" s="4" t="s">
        <v>89</v>
      </c>
      <c r="D51" s="3">
        <v>0.25</v>
      </c>
      <c r="E51" s="3">
        <f>D51*0.06018</f>
        <v>1.5044999999999999E-2</v>
      </c>
      <c r="F51" s="3">
        <v>6.8</v>
      </c>
      <c r="G51" s="3">
        <f>F51*0.035457</f>
        <v>0.24110760000000001</v>
      </c>
      <c r="H51" s="8">
        <f>(J51+R51)-Q51</f>
        <v>1</v>
      </c>
      <c r="I51" s="8">
        <f>H51*0.048033</f>
        <v>4.8032999999999999E-2</v>
      </c>
      <c r="J51" s="8">
        <v>2.25</v>
      </c>
      <c r="K51" s="8">
        <v>0.75</v>
      </c>
      <c r="L51" s="8">
        <f>K51*0.02004</f>
        <v>1.5029999999999998E-2</v>
      </c>
      <c r="M51" s="8">
        <f>J51-K51</f>
        <v>1.5</v>
      </c>
      <c r="N51" s="8">
        <f>M51*0.01216</f>
        <v>1.8239999999999999E-2</v>
      </c>
      <c r="O51" s="8">
        <f>D51+F51+H51-J51</f>
        <v>5.8000000000000007</v>
      </c>
      <c r="P51" s="8">
        <f>O51*0.023</f>
        <v>0.13340000000000002</v>
      </c>
      <c r="Q51" s="3">
        <v>6.25</v>
      </c>
      <c r="R51" s="3">
        <v>5</v>
      </c>
      <c r="S51" s="24">
        <f>E51+G51+I51+L51+N51+P51</f>
        <v>0.47085559999999999</v>
      </c>
      <c r="U51" s="25">
        <v>1.9817849999999998E-2</v>
      </c>
      <c r="V51" s="26">
        <v>1.7240399999999998</v>
      </c>
      <c r="X51" s="3">
        <f>+U51/V51</f>
        <v>1.1495005916336048E-2</v>
      </c>
    </row>
    <row r="52" spans="1:24" s="3" customFormat="1" ht="15.75" x14ac:dyDescent="0.4">
      <c r="A52" s="4"/>
      <c r="B52" s="6" t="s">
        <v>136</v>
      </c>
      <c r="C52" s="4" t="s">
        <v>90</v>
      </c>
      <c r="D52" s="8">
        <v>0.35</v>
      </c>
      <c r="E52" s="8">
        <v>2.1062999999999998E-2</v>
      </c>
      <c r="F52" s="8">
        <v>15.75</v>
      </c>
      <c r="G52" s="8">
        <v>0.55844775000000002</v>
      </c>
      <c r="H52" s="8">
        <v>1.675</v>
      </c>
      <c r="I52" s="8">
        <v>8.0455274999999993E-2</v>
      </c>
      <c r="J52" s="8">
        <v>3.25</v>
      </c>
      <c r="K52" s="8">
        <v>1.1499999999999999</v>
      </c>
      <c r="L52" s="8">
        <v>2.3045999999999997E-2</v>
      </c>
      <c r="M52" s="8">
        <v>2.1</v>
      </c>
      <c r="N52" s="8">
        <v>2.5536000000000003E-2</v>
      </c>
      <c r="O52" s="8">
        <v>14.525</v>
      </c>
      <c r="P52" s="8">
        <v>0.33407500000000001</v>
      </c>
      <c r="Q52" s="8">
        <v>11.574999999999999</v>
      </c>
      <c r="R52" s="8">
        <v>10</v>
      </c>
      <c r="S52" s="27">
        <v>1.0426230249999999</v>
      </c>
      <c r="U52" s="25">
        <v>4.0393149999999996E-2</v>
      </c>
      <c r="V52" s="26">
        <v>6.2022266666666672</v>
      </c>
      <c r="X52" s="3">
        <f t="shared" ref="X52:X65" si="6">+U52/V52</f>
        <v>6.5126852291757572E-3</v>
      </c>
    </row>
    <row r="53" spans="1:24" s="3" customFormat="1" ht="15.75" x14ac:dyDescent="0.4">
      <c r="A53" s="4"/>
      <c r="B53" s="6" t="s">
        <v>136</v>
      </c>
      <c r="C53" s="4" t="s">
        <v>91</v>
      </c>
      <c r="D53" s="3">
        <v>0.35</v>
      </c>
      <c r="E53" s="3">
        <f>D53*0.06018</f>
        <v>2.1062999999999998E-2</v>
      </c>
      <c r="F53" s="3">
        <v>15.4</v>
      </c>
      <c r="G53" s="3">
        <f>F53*0.035457</f>
        <v>0.54603780000000002</v>
      </c>
      <c r="H53" s="8">
        <f>(J53+R53)-Q53</f>
        <v>1.25</v>
      </c>
      <c r="I53" s="8">
        <f>H53*0.048033</f>
        <v>6.0041249999999997E-2</v>
      </c>
      <c r="J53" s="8">
        <v>3.55</v>
      </c>
      <c r="K53" s="8">
        <v>1.1000000000000001</v>
      </c>
      <c r="L53" s="8">
        <f>K53*0.02004</f>
        <v>2.2044000000000001E-2</v>
      </c>
      <c r="M53" s="8">
        <f>J53-K53</f>
        <v>2.4499999999999997</v>
      </c>
      <c r="N53" s="8">
        <f>M53*0.01216</f>
        <v>2.9791999999999999E-2</v>
      </c>
      <c r="O53" s="8">
        <f>D53+F53+H53-J53</f>
        <v>13.45</v>
      </c>
      <c r="P53" s="8">
        <f>O53*0.023</f>
        <v>0.30934999999999996</v>
      </c>
      <c r="Q53" s="3">
        <v>12.3</v>
      </c>
      <c r="R53" s="3">
        <v>10</v>
      </c>
      <c r="S53" s="24">
        <f>E53+G53+I53+L53+N53+P53</f>
        <v>0.98832805000000001</v>
      </c>
      <c r="U53" s="25">
        <v>4.9418650000000008E-2</v>
      </c>
      <c r="V53" s="26">
        <v>7.6008800000000001</v>
      </c>
      <c r="X53" s="3">
        <f t="shared" si="6"/>
        <v>6.5017011188178223E-3</v>
      </c>
    </row>
    <row r="54" spans="1:24" s="3" customFormat="1" ht="15.75" x14ac:dyDescent="0.4">
      <c r="A54" s="4"/>
      <c r="B54" s="6" t="s">
        <v>136</v>
      </c>
      <c r="C54" s="4" t="s">
        <v>92</v>
      </c>
      <c r="D54" s="3">
        <v>0.35</v>
      </c>
      <c r="E54" s="3">
        <f>D54*0.06018</f>
        <v>2.1062999999999998E-2</v>
      </c>
      <c r="F54" s="3">
        <v>14.6</v>
      </c>
      <c r="G54" s="3">
        <f>F54*0.035457</f>
        <v>0.51767220000000003</v>
      </c>
      <c r="H54" s="8">
        <f>(J54+R54)-Q54</f>
        <v>1.4500000000000011</v>
      </c>
      <c r="I54" s="8">
        <f>H54*0.048033</f>
        <v>6.9647850000000053E-2</v>
      </c>
      <c r="J54" s="8">
        <v>3.8</v>
      </c>
      <c r="K54" s="8">
        <v>1.05</v>
      </c>
      <c r="L54" s="8">
        <f>K54*0.02004</f>
        <v>2.1041999999999998E-2</v>
      </c>
      <c r="M54" s="8">
        <f>J54-K54</f>
        <v>2.75</v>
      </c>
      <c r="N54" s="8">
        <f>M54*0.01216</f>
        <v>3.3440000000000004E-2</v>
      </c>
      <c r="O54" s="8">
        <f>D54+F54+H54-J54</f>
        <v>12.599999999999998</v>
      </c>
      <c r="P54" s="8">
        <f>O54*0.023</f>
        <v>0.28979999999999995</v>
      </c>
      <c r="Q54" s="3">
        <v>12.35</v>
      </c>
      <c r="R54" s="3">
        <v>10</v>
      </c>
      <c r="S54" s="24">
        <f>E54+G54+I54+L54+N54+P54</f>
        <v>0.95266505000000012</v>
      </c>
      <c r="U54" s="25">
        <v>5.0323600000000003E-2</v>
      </c>
      <c r="V54" s="26">
        <v>7.3386633333333338</v>
      </c>
      <c r="X54" s="3">
        <f t="shared" si="6"/>
        <v>6.857325062375119E-3</v>
      </c>
    </row>
    <row r="55" spans="1:24" s="3" customFormat="1" ht="15.75" x14ac:dyDescent="0.4">
      <c r="A55" s="4"/>
      <c r="B55" s="6" t="s">
        <v>136</v>
      </c>
      <c r="C55" s="4" t="s">
        <v>93</v>
      </c>
      <c r="D55" s="3">
        <v>0.35</v>
      </c>
      <c r="E55" s="3">
        <f>D55*0.06018</f>
        <v>2.1062999999999998E-2</v>
      </c>
      <c r="F55" s="3">
        <v>15</v>
      </c>
      <c r="G55" s="3">
        <f>F55*0.035457</f>
        <v>0.53185500000000008</v>
      </c>
      <c r="H55" s="8">
        <f>(J55+R55)-Q55</f>
        <v>1.25</v>
      </c>
      <c r="I55" s="8">
        <f>H55*0.048033</f>
        <v>6.0041249999999997E-2</v>
      </c>
      <c r="J55" s="8">
        <v>3.7</v>
      </c>
      <c r="K55" s="8">
        <v>1.05</v>
      </c>
      <c r="L55" s="8">
        <f>K55*0.02004</f>
        <v>2.1041999999999998E-2</v>
      </c>
      <c r="M55" s="8">
        <f>J55-K55</f>
        <v>2.6500000000000004</v>
      </c>
      <c r="N55" s="8">
        <f>M55*0.01216</f>
        <v>3.2224000000000003E-2</v>
      </c>
      <c r="O55" s="8">
        <f>D55+F55+H55-J55</f>
        <v>12.900000000000002</v>
      </c>
      <c r="P55" s="8">
        <f>O55*0.023</f>
        <v>0.29670000000000002</v>
      </c>
      <c r="Q55" s="3">
        <v>12.45</v>
      </c>
      <c r="R55" s="3">
        <v>10</v>
      </c>
      <c r="S55" s="24">
        <f>E55+G55+I55+L55+N55+P55</f>
        <v>0.96292525000000007</v>
      </c>
      <c r="U55" s="25">
        <v>4.3012699999999994E-2</v>
      </c>
      <c r="V55" s="26">
        <v>5.7888899999999994</v>
      </c>
      <c r="X55" s="3">
        <f t="shared" si="6"/>
        <v>7.4302154644500067E-3</v>
      </c>
    </row>
    <row r="56" spans="1:24" s="3" customFormat="1" ht="15.75" x14ac:dyDescent="0.4">
      <c r="A56" s="4" t="s">
        <v>111</v>
      </c>
      <c r="B56" s="6" t="s">
        <v>136</v>
      </c>
      <c r="C56" s="4" t="s">
        <v>89</v>
      </c>
      <c r="D56" s="3">
        <v>0.55000000000000004</v>
      </c>
      <c r="E56" s="3">
        <f>D56*0.06018</f>
        <v>3.3099000000000003E-2</v>
      </c>
      <c r="F56" s="3">
        <v>2.1</v>
      </c>
      <c r="G56" s="3">
        <f>F56*0.035457</f>
        <v>7.4459700000000004E-2</v>
      </c>
      <c r="H56" s="8">
        <f>(J56+R56)-Q56</f>
        <v>0.79999999999999982</v>
      </c>
      <c r="I56" s="8">
        <f>H56*0.048033</f>
        <v>3.8426399999999993E-2</v>
      </c>
      <c r="J56" s="8">
        <v>1.05</v>
      </c>
      <c r="K56" s="8">
        <v>0.3</v>
      </c>
      <c r="L56" s="8">
        <f>K56*0.02004</f>
        <v>6.0119999999999991E-3</v>
      </c>
      <c r="M56" s="8">
        <f>J56-K56</f>
        <v>0.75</v>
      </c>
      <c r="N56" s="8">
        <f>M56*0.01216</f>
        <v>9.1199999999999996E-3</v>
      </c>
      <c r="O56" s="8">
        <f>D56+F56+H56-J56</f>
        <v>2.4000000000000004</v>
      </c>
      <c r="P56" s="8">
        <f>O56*0.023</f>
        <v>5.5200000000000006E-2</v>
      </c>
      <c r="Q56" s="3">
        <v>5.25</v>
      </c>
      <c r="R56" s="3">
        <v>5</v>
      </c>
      <c r="S56" s="24">
        <f>E56+G56+I56+L56+N56+P56</f>
        <v>0.21631709999999998</v>
      </c>
      <c r="U56" s="25">
        <v>2.1199099999999999E-2</v>
      </c>
      <c r="V56" s="26">
        <v>1.1305466666666666</v>
      </c>
      <c r="X56" s="3">
        <f t="shared" si="6"/>
        <v>1.8751194112582702E-2</v>
      </c>
    </row>
    <row r="57" spans="1:24" s="3" customFormat="1" ht="15.75" x14ac:dyDescent="0.4">
      <c r="A57" s="4"/>
      <c r="B57" s="6" t="s">
        <v>136</v>
      </c>
      <c r="C57" s="4" t="s">
        <v>90</v>
      </c>
      <c r="D57" s="8">
        <v>0.5</v>
      </c>
      <c r="E57" s="8">
        <v>3.0089999999999999E-2</v>
      </c>
      <c r="F57" s="8">
        <v>3.85</v>
      </c>
      <c r="G57" s="8">
        <v>0.13650945000000003</v>
      </c>
      <c r="H57" s="8">
        <v>1.175</v>
      </c>
      <c r="I57" s="8">
        <v>5.6438774999999997E-2</v>
      </c>
      <c r="J57" s="8">
        <v>1.55</v>
      </c>
      <c r="K57" s="8">
        <v>0.32500000000000001</v>
      </c>
      <c r="L57" s="8">
        <v>6.5129999999999997E-3</v>
      </c>
      <c r="M57" s="8">
        <v>1.2250000000000001</v>
      </c>
      <c r="N57" s="8">
        <v>1.4896000000000001E-2</v>
      </c>
      <c r="O57" s="8">
        <v>3.9750000000000001</v>
      </c>
      <c r="P57" s="8">
        <v>9.1425000000000006E-2</v>
      </c>
      <c r="Q57" s="8">
        <v>5.375</v>
      </c>
      <c r="R57" s="8">
        <v>5</v>
      </c>
      <c r="S57" s="27">
        <v>0.33587222500000002</v>
      </c>
      <c r="U57" s="25">
        <v>2.6152400000000003E-2</v>
      </c>
      <c r="V57" s="26">
        <v>1.6009333333333335</v>
      </c>
      <c r="X57" s="3">
        <f t="shared" si="6"/>
        <v>1.6335720829516114E-2</v>
      </c>
    </row>
    <row r="58" spans="1:24" s="3" customFormat="1" ht="15.75" x14ac:dyDescent="0.4">
      <c r="A58" s="4"/>
      <c r="B58" s="6" t="s">
        <v>136</v>
      </c>
      <c r="C58" s="4" t="s">
        <v>91</v>
      </c>
      <c r="D58" s="3">
        <v>0.45</v>
      </c>
      <c r="E58" s="3">
        <f>D58*0.06018</f>
        <v>2.7081000000000001E-2</v>
      </c>
      <c r="F58" s="3">
        <v>4.0999999999999996</v>
      </c>
      <c r="G58" s="3">
        <f>F58*0.035457</f>
        <v>0.14537369999999999</v>
      </c>
      <c r="H58" s="8">
        <f>(J58+R58)-Q58</f>
        <v>0.54999999999999982</v>
      </c>
      <c r="I58" s="8">
        <f>H58*0.048033</f>
        <v>2.6418149999999991E-2</v>
      </c>
      <c r="J58" s="8">
        <v>1.25</v>
      </c>
      <c r="K58" s="8">
        <v>0.35</v>
      </c>
      <c r="L58" s="8">
        <f>K58*0.02004</f>
        <v>7.0139999999999994E-3</v>
      </c>
      <c r="M58" s="8">
        <f>J58-K58</f>
        <v>0.9</v>
      </c>
      <c r="N58" s="8">
        <f>M58*0.01216</f>
        <v>1.0944000000000001E-2</v>
      </c>
      <c r="O58" s="8">
        <f>D58+F58+H58-J58</f>
        <v>3.8499999999999996</v>
      </c>
      <c r="P58" s="8">
        <f>O58*0.023</f>
        <v>8.854999999999999E-2</v>
      </c>
      <c r="Q58" s="3">
        <v>5.7</v>
      </c>
      <c r="R58" s="3">
        <v>5</v>
      </c>
      <c r="S58" s="24">
        <f>E58+G58+I58+L58+N58+P58</f>
        <v>0.30538084999999998</v>
      </c>
      <c r="U58" s="25">
        <v>2.8129000000000001E-2</v>
      </c>
      <c r="V58" s="26">
        <v>1.8461366666666665</v>
      </c>
      <c r="X58" s="3">
        <f t="shared" si="6"/>
        <v>1.5236683452471018E-2</v>
      </c>
    </row>
    <row r="59" spans="1:24" s="3" customFormat="1" ht="15.75" x14ac:dyDescent="0.4">
      <c r="A59" s="4"/>
      <c r="B59" s="6" t="s">
        <v>136</v>
      </c>
      <c r="C59" s="4" t="s">
        <v>92</v>
      </c>
      <c r="D59" s="3">
        <v>0.45</v>
      </c>
      <c r="E59" s="3">
        <f>D59*0.06018</f>
        <v>2.7081000000000001E-2</v>
      </c>
      <c r="F59" s="3">
        <v>4.2</v>
      </c>
      <c r="G59" s="3">
        <f>F59*0.035457</f>
        <v>0.14891940000000001</v>
      </c>
      <c r="H59" s="8">
        <f>(J59+R59)-Q59</f>
        <v>0.94999999999999929</v>
      </c>
      <c r="I59" s="8">
        <f>H59*0.048033</f>
        <v>4.5631349999999966E-2</v>
      </c>
      <c r="J59" s="8">
        <v>1.35</v>
      </c>
      <c r="K59" s="8">
        <v>0.35</v>
      </c>
      <c r="L59" s="8">
        <f>K59*0.02004</f>
        <v>7.0139999999999994E-3</v>
      </c>
      <c r="M59" s="8">
        <f>J59-K59</f>
        <v>1</v>
      </c>
      <c r="N59" s="8">
        <f>M59*0.01216</f>
        <v>1.2160000000000001E-2</v>
      </c>
      <c r="O59" s="8">
        <f>D59+F59+H59-J59</f>
        <v>4.25</v>
      </c>
      <c r="P59" s="8">
        <f>O59*0.023</f>
        <v>9.7750000000000004E-2</v>
      </c>
      <c r="Q59" s="3">
        <v>5.4</v>
      </c>
      <c r="R59" s="3">
        <v>5</v>
      </c>
      <c r="S59" s="24">
        <f>E59+G59+I59+L59+N59+P59</f>
        <v>0.33855574999999993</v>
      </c>
      <c r="U59" s="25">
        <v>2.8319499999999997E-2</v>
      </c>
      <c r="V59" s="26">
        <v>1.9437166666666668</v>
      </c>
      <c r="X59" s="3">
        <f t="shared" si="6"/>
        <v>1.4569767541565555E-2</v>
      </c>
    </row>
    <row r="60" spans="1:24" s="3" customFormat="1" ht="15.75" x14ac:dyDescent="0.4">
      <c r="A60" s="4"/>
      <c r="B60" s="6" t="s">
        <v>136</v>
      </c>
      <c r="C60" s="4" t="s">
        <v>93</v>
      </c>
      <c r="D60" s="3">
        <v>0.5</v>
      </c>
      <c r="E60" s="3">
        <f>D60*0.06018</f>
        <v>3.0089999999999999E-2</v>
      </c>
      <c r="F60" s="3">
        <v>4.2</v>
      </c>
      <c r="G60" s="3">
        <f>F60*0.035457</f>
        <v>0.14891940000000001</v>
      </c>
      <c r="H60" s="8">
        <f>(J60+R60)-Q60</f>
        <v>0.84999999999999964</v>
      </c>
      <c r="I60" s="8">
        <f>H60*0.048033</f>
        <v>4.0828049999999984E-2</v>
      </c>
      <c r="J60" s="8">
        <v>1.25</v>
      </c>
      <c r="K60" s="8">
        <v>0.3</v>
      </c>
      <c r="L60" s="8">
        <f>K60*0.02004</f>
        <v>6.0119999999999991E-3</v>
      </c>
      <c r="M60" s="8">
        <f>J60-K60</f>
        <v>0.95</v>
      </c>
      <c r="N60" s="8">
        <f>M60*0.01216</f>
        <v>1.1552E-2</v>
      </c>
      <c r="O60" s="8">
        <f>D60+F60+H60-J60</f>
        <v>4.3</v>
      </c>
      <c r="P60" s="8">
        <f>O60*0.023</f>
        <v>9.8899999999999988E-2</v>
      </c>
      <c r="Q60" s="3">
        <v>5.4</v>
      </c>
      <c r="R60" s="3">
        <v>5</v>
      </c>
      <c r="S60" s="24">
        <f>E60+G60+I60+L60+N60+P60</f>
        <v>0.33630145</v>
      </c>
      <c r="U60" s="25">
        <v>2.6604899999999997E-2</v>
      </c>
      <c r="V60" s="26">
        <v>1.4398</v>
      </c>
      <c r="X60" s="3">
        <f t="shared" si="6"/>
        <v>1.8478191415474372E-2</v>
      </c>
    </row>
    <row r="61" spans="1:24" ht="15.75" x14ac:dyDescent="0.4">
      <c r="B61" s="6" t="s">
        <v>136</v>
      </c>
      <c r="C61" s="4" t="s">
        <v>89</v>
      </c>
      <c r="D61" s="3">
        <f t="shared" ref="D61:P61" si="7">AVERAGE(D56,D51)</f>
        <v>0.4</v>
      </c>
      <c r="E61" s="3">
        <f t="shared" si="7"/>
        <v>2.4072000000000003E-2</v>
      </c>
      <c r="F61" s="3">
        <f t="shared" si="7"/>
        <v>4.45</v>
      </c>
      <c r="G61" s="3">
        <f t="shared" si="7"/>
        <v>0.15778365</v>
      </c>
      <c r="H61" s="3">
        <f t="shared" si="7"/>
        <v>0.89999999999999991</v>
      </c>
      <c r="I61" s="3">
        <f t="shared" si="7"/>
        <v>4.3229699999999996E-2</v>
      </c>
      <c r="J61" s="3">
        <f t="shared" si="7"/>
        <v>1.65</v>
      </c>
      <c r="K61" s="3">
        <f t="shared" si="7"/>
        <v>0.52500000000000002</v>
      </c>
      <c r="L61" s="3">
        <f t="shared" si="7"/>
        <v>1.0520999999999999E-2</v>
      </c>
      <c r="M61" s="3">
        <f t="shared" si="7"/>
        <v>1.125</v>
      </c>
      <c r="N61" s="3">
        <f t="shared" si="7"/>
        <v>1.3679999999999999E-2</v>
      </c>
      <c r="O61" s="3">
        <f t="shared" si="7"/>
        <v>4.1000000000000005</v>
      </c>
      <c r="P61" s="3">
        <f t="shared" si="7"/>
        <v>9.4300000000000009E-2</v>
      </c>
      <c r="Q61" s="3"/>
      <c r="R61" s="3"/>
      <c r="S61" s="24">
        <f>AVERAGE(S56,S51)</f>
        <v>0.34358634999999998</v>
      </c>
      <c r="U61" s="25">
        <f>AVERAGE(U51,U56)</f>
        <v>2.0508474999999998E-2</v>
      </c>
      <c r="V61" s="25">
        <f>AVERAGE(V51,V56)</f>
        <v>1.4272933333333331</v>
      </c>
      <c r="X61" s="3">
        <f t="shared" si="6"/>
        <v>1.4368787775463115E-2</v>
      </c>
    </row>
    <row r="62" spans="1:24" ht="15.75" x14ac:dyDescent="0.4">
      <c r="B62" s="6" t="s">
        <v>136</v>
      </c>
      <c r="C62" s="4" t="s">
        <v>90</v>
      </c>
      <c r="D62" s="3">
        <f t="shared" ref="D62:P65" si="8">AVERAGE(D57,D52)</f>
        <v>0.42499999999999999</v>
      </c>
      <c r="E62" s="3">
        <f t="shared" si="8"/>
        <v>2.5576499999999999E-2</v>
      </c>
      <c r="F62" s="3">
        <f t="shared" si="8"/>
        <v>9.8000000000000007</v>
      </c>
      <c r="G62" s="3">
        <f t="shared" si="8"/>
        <v>0.34747860000000003</v>
      </c>
      <c r="H62" s="3">
        <f t="shared" si="8"/>
        <v>1.425</v>
      </c>
      <c r="I62" s="3">
        <f t="shared" si="8"/>
        <v>6.8447024999999995E-2</v>
      </c>
      <c r="J62" s="3">
        <f t="shared" si="8"/>
        <v>2.4</v>
      </c>
      <c r="K62" s="3">
        <f t="shared" si="8"/>
        <v>0.73749999999999993</v>
      </c>
      <c r="L62" s="3">
        <f t="shared" si="8"/>
        <v>1.4779499999999998E-2</v>
      </c>
      <c r="M62" s="3">
        <f t="shared" si="8"/>
        <v>1.6625000000000001</v>
      </c>
      <c r="N62" s="3">
        <f t="shared" si="8"/>
        <v>2.0216000000000001E-2</v>
      </c>
      <c r="O62" s="3">
        <f t="shared" si="8"/>
        <v>9.25</v>
      </c>
      <c r="P62" s="3">
        <f t="shared" si="8"/>
        <v>0.21274999999999999</v>
      </c>
      <c r="Q62" s="3"/>
      <c r="R62" s="3"/>
      <c r="S62" s="24">
        <f>AVERAGE(S57,S52)</f>
        <v>0.68924762499999992</v>
      </c>
      <c r="U62" s="25">
        <f t="shared" ref="U62:V65" si="9">AVERAGE(U52,U57)</f>
        <v>3.3272774999999997E-2</v>
      </c>
      <c r="V62" s="25">
        <f t="shared" si="9"/>
        <v>3.9015800000000005</v>
      </c>
      <c r="X62" s="3">
        <f t="shared" si="6"/>
        <v>8.5280258254348228E-3</v>
      </c>
    </row>
    <row r="63" spans="1:24" ht="15.75" x14ac:dyDescent="0.4">
      <c r="B63" s="6" t="s">
        <v>136</v>
      </c>
      <c r="C63" s="4" t="s">
        <v>91</v>
      </c>
      <c r="D63" s="3">
        <f t="shared" si="8"/>
        <v>0.4</v>
      </c>
      <c r="E63" s="3">
        <f t="shared" si="8"/>
        <v>2.4072E-2</v>
      </c>
      <c r="F63" s="3">
        <f t="shared" si="8"/>
        <v>9.75</v>
      </c>
      <c r="G63" s="3">
        <f t="shared" si="8"/>
        <v>0.34570575000000003</v>
      </c>
      <c r="H63" s="3">
        <f t="shared" si="8"/>
        <v>0.89999999999999991</v>
      </c>
      <c r="I63" s="3">
        <f t="shared" si="8"/>
        <v>4.3229699999999996E-2</v>
      </c>
      <c r="J63" s="3">
        <f t="shared" si="8"/>
        <v>2.4</v>
      </c>
      <c r="K63" s="3">
        <f t="shared" si="8"/>
        <v>0.72500000000000009</v>
      </c>
      <c r="L63" s="3">
        <f t="shared" si="8"/>
        <v>1.4529E-2</v>
      </c>
      <c r="M63" s="3">
        <f t="shared" si="8"/>
        <v>1.6749999999999998</v>
      </c>
      <c r="N63" s="3">
        <f t="shared" si="8"/>
        <v>2.0368000000000001E-2</v>
      </c>
      <c r="O63" s="3">
        <f t="shared" si="8"/>
        <v>8.6499999999999986</v>
      </c>
      <c r="P63" s="3">
        <f t="shared" si="8"/>
        <v>0.19894999999999996</v>
      </c>
      <c r="Q63" s="3"/>
      <c r="R63" s="3"/>
      <c r="S63" s="24">
        <f>AVERAGE(S58,S53)</f>
        <v>0.64685444999999997</v>
      </c>
      <c r="U63" s="25">
        <f t="shared" si="9"/>
        <v>3.8773825000000005E-2</v>
      </c>
      <c r="V63" s="25">
        <f t="shared" si="9"/>
        <v>4.7235083333333332</v>
      </c>
      <c r="X63" s="3">
        <f t="shared" si="6"/>
        <v>8.20869198565332E-3</v>
      </c>
    </row>
    <row r="64" spans="1:24" ht="15.75" x14ac:dyDescent="0.4">
      <c r="B64" s="6" t="s">
        <v>136</v>
      </c>
      <c r="C64" s="4" t="s">
        <v>92</v>
      </c>
      <c r="D64" s="3">
        <f t="shared" si="8"/>
        <v>0.4</v>
      </c>
      <c r="E64" s="3">
        <f t="shared" si="8"/>
        <v>2.4072E-2</v>
      </c>
      <c r="F64" s="3">
        <f t="shared" si="8"/>
        <v>9.4</v>
      </c>
      <c r="G64" s="3">
        <f t="shared" si="8"/>
        <v>0.33329580000000003</v>
      </c>
      <c r="H64" s="3">
        <f t="shared" si="8"/>
        <v>1.2000000000000002</v>
      </c>
      <c r="I64" s="3">
        <f t="shared" si="8"/>
        <v>5.7639600000000013E-2</v>
      </c>
      <c r="J64" s="3">
        <f t="shared" si="8"/>
        <v>2.5750000000000002</v>
      </c>
      <c r="K64" s="3">
        <f t="shared" si="8"/>
        <v>0.7</v>
      </c>
      <c r="L64" s="3">
        <f t="shared" si="8"/>
        <v>1.4027999999999999E-2</v>
      </c>
      <c r="M64" s="3">
        <f t="shared" si="8"/>
        <v>1.875</v>
      </c>
      <c r="N64" s="3">
        <f t="shared" si="8"/>
        <v>2.2800000000000001E-2</v>
      </c>
      <c r="O64" s="3">
        <f t="shared" si="8"/>
        <v>8.4249999999999989</v>
      </c>
      <c r="P64" s="3">
        <f t="shared" si="8"/>
        <v>0.19377499999999998</v>
      </c>
      <c r="Q64" s="3"/>
      <c r="R64" s="3"/>
      <c r="S64" s="24">
        <f>AVERAGE(S59,S54)</f>
        <v>0.64561040000000003</v>
      </c>
      <c r="U64" s="25">
        <f t="shared" si="9"/>
        <v>3.9321549999999997E-2</v>
      </c>
      <c r="V64" s="25">
        <f t="shared" si="9"/>
        <v>4.6411899999999999</v>
      </c>
      <c r="X64" s="3">
        <f t="shared" si="6"/>
        <v>8.4722991301799753E-3</v>
      </c>
    </row>
    <row r="65" spans="2:24" ht="15.75" x14ac:dyDescent="0.4">
      <c r="B65" s="6" t="s">
        <v>136</v>
      </c>
      <c r="C65" s="4" t="s">
        <v>93</v>
      </c>
      <c r="D65" s="3">
        <f t="shared" si="8"/>
        <v>0.42499999999999999</v>
      </c>
      <c r="E65" s="3">
        <f t="shared" si="8"/>
        <v>2.5576499999999999E-2</v>
      </c>
      <c r="F65" s="3">
        <f t="shared" si="8"/>
        <v>9.6</v>
      </c>
      <c r="G65" s="3">
        <f t="shared" si="8"/>
        <v>0.34038720000000006</v>
      </c>
      <c r="H65" s="3">
        <f t="shared" si="8"/>
        <v>1.0499999999999998</v>
      </c>
      <c r="I65" s="3">
        <f t="shared" si="8"/>
        <v>5.0434649999999991E-2</v>
      </c>
      <c r="J65" s="3">
        <f t="shared" si="8"/>
        <v>2.4750000000000001</v>
      </c>
      <c r="K65" s="3">
        <f t="shared" si="8"/>
        <v>0.67500000000000004</v>
      </c>
      <c r="L65" s="3">
        <f t="shared" si="8"/>
        <v>1.3526999999999999E-2</v>
      </c>
      <c r="M65" s="3">
        <f t="shared" si="8"/>
        <v>1.8000000000000003</v>
      </c>
      <c r="N65" s="3">
        <f t="shared" si="8"/>
        <v>2.1888000000000001E-2</v>
      </c>
      <c r="O65" s="3">
        <f t="shared" si="8"/>
        <v>8.6000000000000014</v>
      </c>
      <c r="P65" s="3">
        <f t="shared" si="8"/>
        <v>0.1978</v>
      </c>
      <c r="Q65" s="3"/>
      <c r="R65" s="3"/>
      <c r="S65" s="24">
        <f>AVERAGE(S60,S55)</f>
        <v>0.64961335000000009</v>
      </c>
      <c r="U65" s="25">
        <f t="shared" si="9"/>
        <v>3.4808799999999994E-2</v>
      </c>
      <c r="V65" s="25">
        <f t="shared" si="9"/>
        <v>3.6143449999999997</v>
      </c>
      <c r="X65" s="3">
        <f t="shared" si="6"/>
        <v>9.6307353061204724E-3</v>
      </c>
    </row>
    <row r="66" spans="2:24" ht="15.75" x14ac:dyDescent="0.4">
      <c r="X66" s="3">
        <f>AVERAGE(X51:X65)</f>
        <v>1.1425135344374414E-2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8E17-EEAC-4322-B193-99897A692601}">
  <dimension ref="A1:Y89"/>
  <sheetViews>
    <sheetView zoomScale="80" zoomScaleNormal="80" workbookViewId="0">
      <selection activeCell="D1" sqref="D1:E1048576"/>
    </sheetView>
  </sheetViews>
  <sheetFormatPr defaultRowHeight="15.75" x14ac:dyDescent="0.4"/>
  <cols>
    <col min="1" max="2" width="9.06640625" style="3"/>
    <col min="3" max="3" width="15.19921875" style="4" customWidth="1"/>
    <col min="4" max="14" width="12.1328125" style="3" customWidth="1"/>
    <col min="15" max="18" width="9.06640625" style="3"/>
    <col min="19" max="19" width="9.06640625" style="21"/>
    <col min="20" max="23" width="9.06640625" style="3"/>
    <col min="24" max="24" width="9.06640625" style="10"/>
    <col min="25" max="255" width="9.06640625" style="3"/>
    <col min="256" max="256" width="7.59765625" style="3" customWidth="1"/>
    <col min="257" max="257" width="15.19921875" style="3" customWidth="1"/>
    <col min="258" max="270" width="12.1328125" style="3" customWidth="1"/>
    <col min="271" max="511" width="9.06640625" style="3"/>
    <col min="512" max="512" width="7.59765625" style="3" customWidth="1"/>
    <col min="513" max="513" width="15.19921875" style="3" customWidth="1"/>
    <col min="514" max="526" width="12.1328125" style="3" customWidth="1"/>
    <col min="527" max="767" width="9.06640625" style="3"/>
    <col min="768" max="768" width="7.59765625" style="3" customWidth="1"/>
    <col min="769" max="769" width="15.19921875" style="3" customWidth="1"/>
    <col min="770" max="782" width="12.1328125" style="3" customWidth="1"/>
    <col min="783" max="1023" width="9.06640625" style="3"/>
    <col min="1024" max="1024" width="7.59765625" style="3" customWidth="1"/>
    <col min="1025" max="1025" width="15.19921875" style="3" customWidth="1"/>
    <col min="1026" max="1038" width="12.1328125" style="3" customWidth="1"/>
    <col min="1039" max="1279" width="9.06640625" style="3"/>
    <col min="1280" max="1280" width="7.59765625" style="3" customWidth="1"/>
    <col min="1281" max="1281" width="15.19921875" style="3" customWidth="1"/>
    <col min="1282" max="1294" width="12.1328125" style="3" customWidth="1"/>
    <col min="1295" max="1535" width="9.06640625" style="3"/>
    <col min="1536" max="1536" width="7.59765625" style="3" customWidth="1"/>
    <col min="1537" max="1537" width="15.19921875" style="3" customWidth="1"/>
    <col min="1538" max="1550" width="12.1328125" style="3" customWidth="1"/>
    <col min="1551" max="1791" width="9.06640625" style="3"/>
    <col min="1792" max="1792" width="7.59765625" style="3" customWidth="1"/>
    <col min="1793" max="1793" width="15.19921875" style="3" customWidth="1"/>
    <col min="1794" max="1806" width="12.1328125" style="3" customWidth="1"/>
    <col min="1807" max="2047" width="9.06640625" style="3"/>
    <col min="2048" max="2048" width="7.59765625" style="3" customWidth="1"/>
    <col min="2049" max="2049" width="15.19921875" style="3" customWidth="1"/>
    <col min="2050" max="2062" width="12.1328125" style="3" customWidth="1"/>
    <col min="2063" max="2303" width="9.06640625" style="3"/>
    <col min="2304" max="2304" width="7.59765625" style="3" customWidth="1"/>
    <col min="2305" max="2305" width="15.19921875" style="3" customWidth="1"/>
    <col min="2306" max="2318" width="12.1328125" style="3" customWidth="1"/>
    <col min="2319" max="2559" width="9.06640625" style="3"/>
    <col min="2560" max="2560" width="7.59765625" style="3" customWidth="1"/>
    <col min="2561" max="2561" width="15.19921875" style="3" customWidth="1"/>
    <col min="2562" max="2574" width="12.1328125" style="3" customWidth="1"/>
    <col min="2575" max="2815" width="9.06640625" style="3"/>
    <col min="2816" max="2816" width="7.59765625" style="3" customWidth="1"/>
    <col min="2817" max="2817" width="15.19921875" style="3" customWidth="1"/>
    <col min="2818" max="2830" width="12.1328125" style="3" customWidth="1"/>
    <col min="2831" max="3071" width="9.06640625" style="3"/>
    <col min="3072" max="3072" width="7.59765625" style="3" customWidth="1"/>
    <col min="3073" max="3073" width="15.19921875" style="3" customWidth="1"/>
    <col min="3074" max="3086" width="12.1328125" style="3" customWidth="1"/>
    <col min="3087" max="3327" width="9.06640625" style="3"/>
    <col min="3328" max="3328" width="7.59765625" style="3" customWidth="1"/>
    <col min="3329" max="3329" width="15.19921875" style="3" customWidth="1"/>
    <col min="3330" max="3342" width="12.1328125" style="3" customWidth="1"/>
    <col min="3343" max="3583" width="9.06640625" style="3"/>
    <col min="3584" max="3584" width="7.59765625" style="3" customWidth="1"/>
    <col min="3585" max="3585" width="15.19921875" style="3" customWidth="1"/>
    <col min="3586" max="3598" width="12.1328125" style="3" customWidth="1"/>
    <col min="3599" max="3839" width="9.06640625" style="3"/>
    <col min="3840" max="3840" width="7.59765625" style="3" customWidth="1"/>
    <col min="3841" max="3841" width="15.19921875" style="3" customWidth="1"/>
    <col min="3842" max="3854" width="12.1328125" style="3" customWidth="1"/>
    <col min="3855" max="4095" width="9.06640625" style="3"/>
    <col min="4096" max="4096" width="7.59765625" style="3" customWidth="1"/>
    <col min="4097" max="4097" width="15.19921875" style="3" customWidth="1"/>
    <col min="4098" max="4110" width="12.1328125" style="3" customWidth="1"/>
    <col min="4111" max="4351" width="9.06640625" style="3"/>
    <col min="4352" max="4352" width="7.59765625" style="3" customWidth="1"/>
    <col min="4353" max="4353" width="15.19921875" style="3" customWidth="1"/>
    <col min="4354" max="4366" width="12.1328125" style="3" customWidth="1"/>
    <col min="4367" max="4607" width="9.06640625" style="3"/>
    <col min="4608" max="4608" width="7.59765625" style="3" customWidth="1"/>
    <col min="4609" max="4609" width="15.19921875" style="3" customWidth="1"/>
    <col min="4610" max="4622" width="12.1328125" style="3" customWidth="1"/>
    <col min="4623" max="4863" width="9.06640625" style="3"/>
    <col min="4864" max="4864" width="7.59765625" style="3" customWidth="1"/>
    <col min="4865" max="4865" width="15.19921875" style="3" customWidth="1"/>
    <col min="4866" max="4878" width="12.1328125" style="3" customWidth="1"/>
    <col min="4879" max="5119" width="9.06640625" style="3"/>
    <col min="5120" max="5120" width="7.59765625" style="3" customWidth="1"/>
    <col min="5121" max="5121" width="15.19921875" style="3" customWidth="1"/>
    <col min="5122" max="5134" width="12.1328125" style="3" customWidth="1"/>
    <col min="5135" max="5375" width="9.06640625" style="3"/>
    <col min="5376" max="5376" width="7.59765625" style="3" customWidth="1"/>
    <col min="5377" max="5377" width="15.19921875" style="3" customWidth="1"/>
    <col min="5378" max="5390" width="12.1328125" style="3" customWidth="1"/>
    <col min="5391" max="5631" width="9.06640625" style="3"/>
    <col min="5632" max="5632" width="7.59765625" style="3" customWidth="1"/>
    <col min="5633" max="5633" width="15.19921875" style="3" customWidth="1"/>
    <col min="5634" max="5646" width="12.1328125" style="3" customWidth="1"/>
    <col min="5647" max="5887" width="9.06640625" style="3"/>
    <col min="5888" max="5888" width="7.59765625" style="3" customWidth="1"/>
    <col min="5889" max="5889" width="15.19921875" style="3" customWidth="1"/>
    <col min="5890" max="5902" width="12.1328125" style="3" customWidth="1"/>
    <col min="5903" max="6143" width="9.06640625" style="3"/>
    <col min="6144" max="6144" width="7.59765625" style="3" customWidth="1"/>
    <col min="6145" max="6145" width="15.19921875" style="3" customWidth="1"/>
    <col min="6146" max="6158" width="12.1328125" style="3" customWidth="1"/>
    <col min="6159" max="6399" width="9.06640625" style="3"/>
    <col min="6400" max="6400" width="7.59765625" style="3" customWidth="1"/>
    <col min="6401" max="6401" width="15.19921875" style="3" customWidth="1"/>
    <col min="6402" max="6414" width="12.1328125" style="3" customWidth="1"/>
    <col min="6415" max="6655" width="9.06640625" style="3"/>
    <col min="6656" max="6656" width="7.59765625" style="3" customWidth="1"/>
    <col min="6657" max="6657" width="15.19921875" style="3" customWidth="1"/>
    <col min="6658" max="6670" width="12.1328125" style="3" customWidth="1"/>
    <col min="6671" max="6911" width="9.06640625" style="3"/>
    <col min="6912" max="6912" width="7.59765625" style="3" customWidth="1"/>
    <col min="6913" max="6913" width="15.19921875" style="3" customWidth="1"/>
    <col min="6914" max="6926" width="12.1328125" style="3" customWidth="1"/>
    <col min="6927" max="7167" width="9.06640625" style="3"/>
    <col min="7168" max="7168" width="7.59765625" style="3" customWidth="1"/>
    <col min="7169" max="7169" width="15.19921875" style="3" customWidth="1"/>
    <col min="7170" max="7182" width="12.1328125" style="3" customWidth="1"/>
    <col min="7183" max="7423" width="9.06640625" style="3"/>
    <col min="7424" max="7424" width="7.59765625" style="3" customWidth="1"/>
    <col min="7425" max="7425" width="15.19921875" style="3" customWidth="1"/>
    <col min="7426" max="7438" width="12.1328125" style="3" customWidth="1"/>
    <col min="7439" max="7679" width="9.06640625" style="3"/>
    <col min="7680" max="7680" width="7.59765625" style="3" customWidth="1"/>
    <col min="7681" max="7681" width="15.19921875" style="3" customWidth="1"/>
    <col min="7682" max="7694" width="12.1328125" style="3" customWidth="1"/>
    <col min="7695" max="7935" width="9.06640625" style="3"/>
    <col min="7936" max="7936" width="7.59765625" style="3" customWidth="1"/>
    <col min="7937" max="7937" width="15.19921875" style="3" customWidth="1"/>
    <col min="7938" max="7950" width="12.1328125" style="3" customWidth="1"/>
    <col min="7951" max="8191" width="9.06640625" style="3"/>
    <col min="8192" max="8192" width="7.59765625" style="3" customWidth="1"/>
    <col min="8193" max="8193" width="15.19921875" style="3" customWidth="1"/>
    <col min="8194" max="8206" width="12.1328125" style="3" customWidth="1"/>
    <col min="8207" max="8447" width="9.06640625" style="3"/>
    <col min="8448" max="8448" width="7.59765625" style="3" customWidth="1"/>
    <col min="8449" max="8449" width="15.19921875" style="3" customWidth="1"/>
    <col min="8450" max="8462" width="12.1328125" style="3" customWidth="1"/>
    <col min="8463" max="8703" width="9.06640625" style="3"/>
    <col min="8704" max="8704" width="7.59765625" style="3" customWidth="1"/>
    <col min="8705" max="8705" width="15.19921875" style="3" customWidth="1"/>
    <col min="8706" max="8718" width="12.1328125" style="3" customWidth="1"/>
    <col min="8719" max="8959" width="9.06640625" style="3"/>
    <col min="8960" max="8960" width="7.59765625" style="3" customWidth="1"/>
    <col min="8961" max="8961" width="15.19921875" style="3" customWidth="1"/>
    <col min="8962" max="8974" width="12.1328125" style="3" customWidth="1"/>
    <col min="8975" max="9215" width="9.06640625" style="3"/>
    <col min="9216" max="9216" width="7.59765625" style="3" customWidth="1"/>
    <col min="9217" max="9217" width="15.19921875" style="3" customWidth="1"/>
    <col min="9218" max="9230" width="12.1328125" style="3" customWidth="1"/>
    <col min="9231" max="9471" width="9.06640625" style="3"/>
    <col min="9472" max="9472" width="7.59765625" style="3" customWidth="1"/>
    <col min="9473" max="9473" width="15.19921875" style="3" customWidth="1"/>
    <col min="9474" max="9486" width="12.1328125" style="3" customWidth="1"/>
    <col min="9487" max="9727" width="9.06640625" style="3"/>
    <col min="9728" max="9728" width="7.59765625" style="3" customWidth="1"/>
    <col min="9729" max="9729" width="15.19921875" style="3" customWidth="1"/>
    <col min="9730" max="9742" width="12.1328125" style="3" customWidth="1"/>
    <col min="9743" max="9983" width="9.06640625" style="3"/>
    <col min="9984" max="9984" width="7.59765625" style="3" customWidth="1"/>
    <col min="9985" max="9985" width="15.19921875" style="3" customWidth="1"/>
    <col min="9986" max="9998" width="12.1328125" style="3" customWidth="1"/>
    <col min="9999" max="10239" width="9.06640625" style="3"/>
    <col min="10240" max="10240" width="7.59765625" style="3" customWidth="1"/>
    <col min="10241" max="10241" width="15.19921875" style="3" customWidth="1"/>
    <col min="10242" max="10254" width="12.1328125" style="3" customWidth="1"/>
    <col min="10255" max="10495" width="9.06640625" style="3"/>
    <col min="10496" max="10496" width="7.59765625" style="3" customWidth="1"/>
    <col min="10497" max="10497" width="15.19921875" style="3" customWidth="1"/>
    <col min="10498" max="10510" width="12.1328125" style="3" customWidth="1"/>
    <col min="10511" max="10751" width="9.06640625" style="3"/>
    <col min="10752" max="10752" width="7.59765625" style="3" customWidth="1"/>
    <col min="10753" max="10753" width="15.19921875" style="3" customWidth="1"/>
    <col min="10754" max="10766" width="12.1328125" style="3" customWidth="1"/>
    <col min="10767" max="11007" width="9.06640625" style="3"/>
    <col min="11008" max="11008" width="7.59765625" style="3" customWidth="1"/>
    <col min="11009" max="11009" width="15.19921875" style="3" customWidth="1"/>
    <col min="11010" max="11022" width="12.1328125" style="3" customWidth="1"/>
    <col min="11023" max="11263" width="9.06640625" style="3"/>
    <col min="11264" max="11264" width="7.59765625" style="3" customWidth="1"/>
    <col min="11265" max="11265" width="15.19921875" style="3" customWidth="1"/>
    <col min="11266" max="11278" width="12.1328125" style="3" customWidth="1"/>
    <col min="11279" max="11519" width="9.06640625" style="3"/>
    <col min="11520" max="11520" width="7.59765625" style="3" customWidth="1"/>
    <col min="11521" max="11521" width="15.19921875" style="3" customWidth="1"/>
    <col min="11522" max="11534" width="12.1328125" style="3" customWidth="1"/>
    <col min="11535" max="11775" width="9.06640625" style="3"/>
    <col min="11776" max="11776" width="7.59765625" style="3" customWidth="1"/>
    <col min="11777" max="11777" width="15.19921875" style="3" customWidth="1"/>
    <col min="11778" max="11790" width="12.1328125" style="3" customWidth="1"/>
    <col min="11791" max="12031" width="9.06640625" style="3"/>
    <col min="12032" max="12032" width="7.59765625" style="3" customWidth="1"/>
    <col min="12033" max="12033" width="15.19921875" style="3" customWidth="1"/>
    <col min="12034" max="12046" width="12.1328125" style="3" customWidth="1"/>
    <col min="12047" max="12287" width="9.06640625" style="3"/>
    <col min="12288" max="12288" width="7.59765625" style="3" customWidth="1"/>
    <col min="12289" max="12289" width="15.19921875" style="3" customWidth="1"/>
    <col min="12290" max="12302" width="12.1328125" style="3" customWidth="1"/>
    <col min="12303" max="12543" width="9.06640625" style="3"/>
    <col min="12544" max="12544" width="7.59765625" style="3" customWidth="1"/>
    <col min="12545" max="12545" width="15.19921875" style="3" customWidth="1"/>
    <col min="12546" max="12558" width="12.1328125" style="3" customWidth="1"/>
    <col min="12559" max="12799" width="9.06640625" style="3"/>
    <col min="12800" max="12800" width="7.59765625" style="3" customWidth="1"/>
    <col min="12801" max="12801" width="15.19921875" style="3" customWidth="1"/>
    <col min="12802" max="12814" width="12.1328125" style="3" customWidth="1"/>
    <col min="12815" max="13055" width="9.06640625" style="3"/>
    <col min="13056" max="13056" width="7.59765625" style="3" customWidth="1"/>
    <col min="13057" max="13057" width="15.19921875" style="3" customWidth="1"/>
    <col min="13058" max="13070" width="12.1328125" style="3" customWidth="1"/>
    <col min="13071" max="13311" width="9.06640625" style="3"/>
    <col min="13312" max="13312" width="7.59765625" style="3" customWidth="1"/>
    <col min="13313" max="13313" width="15.19921875" style="3" customWidth="1"/>
    <col min="13314" max="13326" width="12.1328125" style="3" customWidth="1"/>
    <col min="13327" max="13567" width="9.06640625" style="3"/>
    <col min="13568" max="13568" width="7.59765625" style="3" customWidth="1"/>
    <col min="13569" max="13569" width="15.19921875" style="3" customWidth="1"/>
    <col min="13570" max="13582" width="12.1328125" style="3" customWidth="1"/>
    <col min="13583" max="13823" width="9.06640625" style="3"/>
    <col min="13824" max="13824" width="7.59765625" style="3" customWidth="1"/>
    <col min="13825" max="13825" width="15.19921875" style="3" customWidth="1"/>
    <col min="13826" max="13838" width="12.1328125" style="3" customWidth="1"/>
    <col min="13839" max="14079" width="9.06640625" style="3"/>
    <col min="14080" max="14080" width="7.59765625" style="3" customWidth="1"/>
    <col min="14081" max="14081" width="15.19921875" style="3" customWidth="1"/>
    <col min="14082" max="14094" width="12.1328125" style="3" customWidth="1"/>
    <col min="14095" max="14335" width="9.06640625" style="3"/>
    <col min="14336" max="14336" width="7.59765625" style="3" customWidth="1"/>
    <col min="14337" max="14337" width="15.19921875" style="3" customWidth="1"/>
    <col min="14338" max="14350" width="12.1328125" style="3" customWidth="1"/>
    <col min="14351" max="14591" width="9.06640625" style="3"/>
    <col min="14592" max="14592" width="7.59765625" style="3" customWidth="1"/>
    <col min="14593" max="14593" width="15.19921875" style="3" customWidth="1"/>
    <col min="14594" max="14606" width="12.1328125" style="3" customWidth="1"/>
    <col min="14607" max="14847" width="9.06640625" style="3"/>
    <col min="14848" max="14848" width="7.59765625" style="3" customWidth="1"/>
    <col min="14849" max="14849" width="15.19921875" style="3" customWidth="1"/>
    <col min="14850" max="14862" width="12.1328125" style="3" customWidth="1"/>
    <col min="14863" max="15103" width="9.06640625" style="3"/>
    <col min="15104" max="15104" width="7.59765625" style="3" customWidth="1"/>
    <col min="15105" max="15105" width="15.19921875" style="3" customWidth="1"/>
    <col min="15106" max="15118" width="12.1328125" style="3" customWidth="1"/>
    <col min="15119" max="15359" width="9.06640625" style="3"/>
    <col min="15360" max="15360" width="7.59765625" style="3" customWidth="1"/>
    <col min="15361" max="15361" width="15.19921875" style="3" customWidth="1"/>
    <col min="15362" max="15374" width="12.1328125" style="3" customWidth="1"/>
    <col min="15375" max="15615" width="9.06640625" style="3"/>
    <col min="15616" max="15616" width="7.59765625" style="3" customWidth="1"/>
    <col min="15617" max="15617" width="15.19921875" style="3" customWidth="1"/>
    <col min="15618" max="15630" width="12.1328125" style="3" customWidth="1"/>
    <col min="15631" max="15871" width="9.06640625" style="3"/>
    <col min="15872" max="15872" width="7.59765625" style="3" customWidth="1"/>
    <col min="15873" max="15873" width="15.19921875" style="3" customWidth="1"/>
    <col min="15874" max="15886" width="12.1328125" style="3" customWidth="1"/>
    <col min="15887" max="16127" width="9.06640625" style="3"/>
    <col min="16128" max="16128" width="7.59765625" style="3" customWidth="1"/>
    <col min="16129" max="16129" width="15.19921875" style="3" customWidth="1"/>
    <col min="16130" max="16142" width="12.1328125" style="3" customWidth="1"/>
    <col min="16143" max="16384" width="9.06640625" style="3"/>
  </cols>
  <sheetData>
    <row r="1" spans="1:24" x14ac:dyDescent="0.4">
      <c r="U1" s="19" t="s">
        <v>123</v>
      </c>
      <c r="V1" s="10"/>
    </row>
    <row r="2" spans="1:24" ht="18" x14ac:dyDescent="0.4">
      <c r="A2" s="3" t="s">
        <v>124</v>
      </c>
      <c r="B2" s="3" t="s">
        <v>125</v>
      </c>
      <c r="C2" s="4" t="s">
        <v>126</v>
      </c>
      <c r="D2" s="5" t="s">
        <v>79</v>
      </c>
      <c r="E2" s="5" t="s">
        <v>80</v>
      </c>
      <c r="F2" s="5" t="s">
        <v>81</v>
      </c>
      <c r="G2" s="5" t="s">
        <v>80</v>
      </c>
      <c r="H2" s="5" t="s">
        <v>127</v>
      </c>
      <c r="I2" s="5" t="s">
        <v>80</v>
      </c>
      <c r="J2" s="5" t="s">
        <v>128</v>
      </c>
      <c r="K2" s="5" t="s">
        <v>82</v>
      </c>
      <c r="L2" s="5" t="s">
        <v>80</v>
      </c>
      <c r="M2" s="5" t="s">
        <v>83</v>
      </c>
      <c r="N2" s="5" t="s">
        <v>80</v>
      </c>
      <c r="O2" s="5" t="s">
        <v>84</v>
      </c>
      <c r="P2" s="5" t="s">
        <v>80</v>
      </c>
      <c r="Q2" s="5" t="s">
        <v>87</v>
      </c>
      <c r="R2" s="5" t="s">
        <v>129</v>
      </c>
      <c r="S2" s="22" t="s">
        <v>130</v>
      </c>
      <c r="U2" s="4" t="s">
        <v>131</v>
      </c>
      <c r="V2" s="23" t="s">
        <v>132</v>
      </c>
      <c r="X2" s="3"/>
    </row>
    <row r="3" spans="1:24" x14ac:dyDescent="0.4">
      <c r="A3" s="4" t="s">
        <v>112</v>
      </c>
      <c r="B3" s="6" t="s">
        <v>133</v>
      </c>
      <c r="C3" s="4" t="s">
        <v>89</v>
      </c>
      <c r="D3" s="8">
        <v>0.5</v>
      </c>
      <c r="E3" s="8">
        <f>D3*0.06018</f>
        <v>3.0089999999999999E-2</v>
      </c>
      <c r="F3" s="8">
        <v>3.35</v>
      </c>
      <c r="G3" s="8">
        <f>F3*0.035457</f>
        <v>0.11878095000000001</v>
      </c>
      <c r="H3" s="8">
        <f>(J3+R3)-Q3</f>
        <v>0.55000000000000071</v>
      </c>
      <c r="I3" s="8">
        <f>H3*0.048033</f>
        <v>2.6418150000000033E-2</v>
      </c>
      <c r="J3" s="8">
        <v>0.65</v>
      </c>
      <c r="K3" s="8">
        <v>0.25</v>
      </c>
      <c r="L3" s="8">
        <f>K3*0.02004</f>
        <v>5.0099999999999997E-3</v>
      </c>
      <c r="M3" s="8">
        <f>J3-K3</f>
        <v>0.4</v>
      </c>
      <c r="N3" s="8">
        <f>M3*0.01216</f>
        <v>4.8640000000000003E-3</v>
      </c>
      <c r="O3" s="8">
        <f>D3+F3+H3-J3</f>
        <v>3.7500000000000004</v>
      </c>
      <c r="P3" s="8">
        <f>O3*0.023</f>
        <v>8.6250000000000007E-2</v>
      </c>
      <c r="Q3" s="8">
        <v>5.0999999999999996</v>
      </c>
      <c r="R3" s="8">
        <v>5</v>
      </c>
      <c r="S3" s="24">
        <f>E3+G3+I3+L3+N3+P3</f>
        <v>0.27141310000000002</v>
      </c>
      <c r="U3" s="25">
        <v>1.6864899999999999E-2</v>
      </c>
      <c r="V3" s="26">
        <v>1.1355500000000001</v>
      </c>
      <c r="X3" s="3">
        <f>+U3/V3</f>
        <v>1.4851745850028618E-2</v>
      </c>
    </row>
    <row r="4" spans="1:24" x14ac:dyDescent="0.4">
      <c r="A4" s="4"/>
      <c r="B4" s="6" t="s">
        <v>133</v>
      </c>
      <c r="C4" s="4" t="s">
        <v>113</v>
      </c>
      <c r="D4" s="8">
        <v>0.65</v>
      </c>
      <c r="E4" s="8">
        <f>D4*0.06018</f>
        <v>3.9116999999999999E-2</v>
      </c>
      <c r="F4" s="8">
        <v>5.4</v>
      </c>
      <c r="G4" s="8">
        <f>F4*0.035457</f>
        <v>0.19146780000000002</v>
      </c>
      <c r="H4" s="8">
        <f>(J4+R4)-Q4</f>
        <v>1</v>
      </c>
      <c r="I4" s="8">
        <f>H4*0.048033</f>
        <v>4.8032999999999999E-2</v>
      </c>
      <c r="J4" s="8">
        <v>1.1000000000000001</v>
      </c>
      <c r="K4" s="8">
        <v>0.35</v>
      </c>
      <c r="L4" s="8">
        <f>K4*0.02004</f>
        <v>7.0139999999999994E-3</v>
      </c>
      <c r="M4" s="8">
        <f>J4-K4</f>
        <v>0.75000000000000011</v>
      </c>
      <c r="N4" s="8">
        <f>M4*0.01216</f>
        <v>9.1200000000000014E-3</v>
      </c>
      <c r="O4" s="8">
        <f>D4+F4+H4-J4</f>
        <v>5.9500000000000011</v>
      </c>
      <c r="P4" s="8">
        <f>O4*0.023</f>
        <v>0.13685000000000003</v>
      </c>
      <c r="Q4" s="8">
        <v>5.0999999999999996</v>
      </c>
      <c r="R4" s="8">
        <v>5</v>
      </c>
      <c r="S4" s="24">
        <f>E4+G4+I4+L4+N4+P4</f>
        <v>0.43160180000000009</v>
      </c>
      <c r="X4" s="3"/>
    </row>
    <row r="5" spans="1:24" x14ac:dyDescent="0.4">
      <c r="A5" s="4"/>
      <c r="B5" s="6" t="s">
        <v>133</v>
      </c>
      <c r="C5" s="4" t="s">
        <v>114</v>
      </c>
      <c r="D5" s="8">
        <v>0.65</v>
      </c>
      <c r="E5" s="8">
        <f>D5*0.06018</f>
        <v>3.9116999999999999E-2</v>
      </c>
      <c r="F5" s="8">
        <v>5.2</v>
      </c>
      <c r="G5" s="8">
        <f>F5*0.035457</f>
        <v>0.18437640000000002</v>
      </c>
      <c r="H5" s="8">
        <f>(J5+R5)-Q5</f>
        <v>0.54999999999999982</v>
      </c>
      <c r="I5" s="8">
        <f>H5*0.048033</f>
        <v>2.6418149999999991E-2</v>
      </c>
      <c r="J5" s="8">
        <v>0.8</v>
      </c>
      <c r="K5" s="8">
        <v>0.25</v>
      </c>
      <c r="L5" s="8">
        <f>K5*0.02004</f>
        <v>5.0099999999999997E-3</v>
      </c>
      <c r="M5" s="8">
        <f>J5-K5</f>
        <v>0.55000000000000004</v>
      </c>
      <c r="N5" s="8">
        <f>M5*0.01216</f>
        <v>6.6880000000000012E-3</v>
      </c>
      <c r="O5" s="8">
        <f>D5+F5+H5-J5</f>
        <v>5.6000000000000005</v>
      </c>
      <c r="P5" s="8">
        <f>O5*0.023</f>
        <v>0.1288</v>
      </c>
      <c r="Q5" s="8">
        <v>5.25</v>
      </c>
      <c r="R5" s="8">
        <v>5</v>
      </c>
      <c r="S5" s="24">
        <f>E5+G5+I5+L5+N5+P5</f>
        <v>0.39040954999999999</v>
      </c>
      <c r="X5" s="3"/>
    </row>
    <row r="6" spans="1:24" x14ac:dyDescent="0.4">
      <c r="A6" s="4"/>
      <c r="B6" s="6"/>
      <c r="C6" s="4" t="s">
        <v>90</v>
      </c>
      <c r="D6" s="8">
        <v>0.65</v>
      </c>
      <c r="E6" s="8">
        <v>3.9116999999999999E-2</v>
      </c>
      <c r="F6" s="8">
        <v>5.3</v>
      </c>
      <c r="G6" s="8">
        <v>0.18792210000000004</v>
      </c>
      <c r="H6" s="8">
        <v>0.77500000000000002</v>
      </c>
      <c r="I6" s="8">
        <v>3.7225574999999997E-2</v>
      </c>
      <c r="J6" s="8">
        <v>0.95</v>
      </c>
      <c r="K6" s="8">
        <v>0.3</v>
      </c>
      <c r="L6" s="8">
        <v>6.012E-3</v>
      </c>
      <c r="M6" s="8">
        <v>0.65</v>
      </c>
      <c r="N6" s="8">
        <v>7.9040000000000013E-3</v>
      </c>
      <c r="O6" s="8">
        <v>5.7750000000000004</v>
      </c>
      <c r="P6" s="8">
        <v>0.13282500000000003</v>
      </c>
      <c r="Q6" s="8">
        <v>5.1749999999999998</v>
      </c>
      <c r="R6" s="8">
        <v>5</v>
      </c>
      <c r="S6" s="27">
        <v>0.41100567500000007</v>
      </c>
      <c r="U6" s="25">
        <v>3.3820500000000003E-2</v>
      </c>
      <c r="V6" s="26">
        <v>3.8387799999999999</v>
      </c>
      <c r="X6" s="3">
        <f t="shared" ref="X6:X21" si="0">+U6/V6</f>
        <v>8.8102209556161076E-3</v>
      </c>
    </row>
    <row r="7" spans="1:24" x14ac:dyDescent="0.4">
      <c r="A7" s="4"/>
      <c r="B7" s="6" t="s">
        <v>133</v>
      </c>
      <c r="C7" s="4" t="s">
        <v>91</v>
      </c>
      <c r="D7" s="8">
        <v>0.65</v>
      </c>
      <c r="E7" s="8">
        <f t="shared" ref="E7:E12" si="1">D7*0.06018</f>
        <v>3.9116999999999999E-2</v>
      </c>
      <c r="F7" s="8">
        <v>5</v>
      </c>
      <c r="G7" s="8">
        <f t="shared" ref="G7:G12" si="2">F7*0.035457</f>
        <v>0.17728500000000003</v>
      </c>
      <c r="H7" s="8">
        <f t="shared" ref="H7:H12" si="3">(J7+R7)-Q7</f>
        <v>0.54999999999999982</v>
      </c>
      <c r="I7" s="8">
        <f t="shared" ref="I7:I12" si="4">H7*0.048033</f>
        <v>2.6418149999999991E-2</v>
      </c>
      <c r="J7" s="8">
        <v>0.85</v>
      </c>
      <c r="K7" s="8">
        <v>0.2</v>
      </c>
      <c r="L7" s="8">
        <f t="shared" ref="L7:L12" si="5">K7*0.02004</f>
        <v>4.0080000000000003E-3</v>
      </c>
      <c r="M7" s="8">
        <f t="shared" ref="M7:M12" si="6">J7-K7</f>
        <v>0.64999999999999991</v>
      </c>
      <c r="N7" s="8">
        <f t="shared" ref="N7:N12" si="7">M7*0.01216</f>
        <v>7.9039999999999996E-3</v>
      </c>
      <c r="O7" s="8">
        <f t="shared" ref="O7:O12" si="8">D7+F7+H7-J7</f>
        <v>5.3500000000000005</v>
      </c>
      <c r="P7" s="8">
        <f t="shared" ref="P7:P12" si="9">O7*0.023</f>
        <v>0.12305000000000001</v>
      </c>
      <c r="Q7" s="8">
        <v>5.3</v>
      </c>
      <c r="R7" s="8">
        <v>5</v>
      </c>
      <c r="S7" s="24">
        <f t="shared" ref="S7:S12" si="10">E7+G7+I7+L7+N7+P7</f>
        <v>0.37778215000000004</v>
      </c>
      <c r="U7" s="25">
        <v>1.8817700000000003E-2</v>
      </c>
      <c r="V7" s="26">
        <v>1.8021</v>
      </c>
      <c r="X7" s="3">
        <f t="shared" si="0"/>
        <v>1.0442095333222353E-2</v>
      </c>
    </row>
    <row r="8" spans="1:24" x14ac:dyDescent="0.4">
      <c r="A8" s="4"/>
      <c r="B8" s="6" t="s">
        <v>133</v>
      </c>
      <c r="C8" s="4" t="s">
        <v>92</v>
      </c>
      <c r="D8" s="8">
        <v>0.65</v>
      </c>
      <c r="E8" s="8">
        <f t="shared" si="1"/>
        <v>3.9116999999999999E-2</v>
      </c>
      <c r="F8" s="8">
        <v>5.0999999999999996</v>
      </c>
      <c r="G8" s="8">
        <f t="shared" si="2"/>
        <v>0.18083070000000001</v>
      </c>
      <c r="H8" s="8">
        <f t="shared" si="3"/>
        <v>0.70000000000000018</v>
      </c>
      <c r="I8" s="8">
        <f t="shared" si="4"/>
        <v>3.362310000000001E-2</v>
      </c>
      <c r="J8" s="8">
        <v>0.95</v>
      </c>
      <c r="K8" s="8">
        <v>0.25</v>
      </c>
      <c r="L8" s="8">
        <f t="shared" si="5"/>
        <v>5.0099999999999997E-3</v>
      </c>
      <c r="M8" s="8">
        <f t="shared" si="6"/>
        <v>0.7</v>
      </c>
      <c r="N8" s="8">
        <f t="shared" si="7"/>
        <v>8.5120000000000005E-3</v>
      </c>
      <c r="O8" s="8">
        <f t="shared" si="8"/>
        <v>5.5</v>
      </c>
      <c r="P8" s="8">
        <f t="shared" si="9"/>
        <v>0.1265</v>
      </c>
      <c r="Q8" s="8">
        <v>5.25</v>
      </c>
      <c r="R8" s="8">
        <v>5</v>
      </c>
      <c r="S8" s="24">
        <f t="shared" si="10"/>
        <v>0.39359280000000008</v>
      </c>
      <c r="U8" s="25">
        <v>1.9746449999999999E-2</v>
      </c>
      <c r="V8" s="26">
        <v>1.9872533333333333</v>
      </c>
      <c r="X8" s="3">
        <f t="shared" si="0"/>
        <v>9.9365539706395417E-3</v>
      </c>
    </row>
    <row r="9" spans="1:24" x14ac:dyDescent="0.4">
      <c r="A9" s="4"/>
      <c r="B9" s="6" t="s">
        <v>133</v>
      </c>
      <c r="C9" s="4" t="s">
        <v>93</v>
      </c>
      <c r="D9" s="8">
        <v>0.5</v>
      </c>
      <c r="E9" s="8">
        <f t="shared" si="1"/>
        <v>3.0089999999999999E-2</v>
      </c>
      <c r="F9" s="8">
        <v>5.6</v>
      </c>
      <c r="G9" s="8">
        <f t="shared" si="2"/>
        <v>0.19855919999999999</v>
      </c>
      <c r="H9" s="8">
        <f t="shared" si="3"/>
        <v>0.75</v>
      </c>
      <c r="I9" s="8">
        <f t="shared" si="4"/>
        <v>3.6024750000000001E-2</v>
      </c>
      <c r="J9" s="8">
        <v>1</v>
      </c>
      <c r="K9" s="8">
        <v>0.35</v>
      </c>
      <c r="L9" s="8">
        <f t="shared" si="5"/>
        <v>7.0139999999999994E-3</v>
      </c>
      <c r="M9" s="8">
        <f t="shared" si="6"/>
        <v>0.65</v>
      </c>
      <c r="N9" s="8">
        <f t="shared" si="7"/>
        <v>7.9040000000000013E-3</v>
      </c>
      <c r="O9" s="8">
        <f t="shared" si="8"/>
        <v>5.85</v>
      </c>
      <c r="P9" s="8">
        <f t="shared" si="9"/>
        <v>0.13455</v>
      </c>
      <c r="Q9" s="8">
        <v>5.25</v>
      </c>
      <c r="R9" s="8">
        <v>5</v>
      </c>
      <c r="S9" s="24">
        <f t="shared" si="10"/>
        <v>0.41414195000000004</v>
      </c>
      <c r="U9" s="25">
        <v>1.8389000000000003E-2</v>
      </c>
      <c r="V9" s="26">
        <v>2.9125133333333331</v>
      </c>
      <c r="X9" s="3">
        <f t="shared" si="0"/>
        <v>6.3137908381535324E-3</v>
      </c>
    </row>
    <row r="10" spans="1:24" x14ac:dyDescent="0.4">
      <c r="A10" s="4" t="s">
        <v>115</v>
      </c>
      <c r="B10" s="6" t="s">
        <v>133</v>
      </c>
      <c r="C10" s="4" t="s">
        <v>89</v>
      </c>
      <c r="D10" s="3">
        <v>0.55000000000000004</v>
      </c>
      <c r="E10" s="3">
        <f t="shared" si="1"/>
        <v>3.3099000000000003E-2</v>
      </c>
      <c r="F10" s="3">
        <v>3.2</v>
      </c>
      <c r="G10" s="3">
        <f t="shared" si="2"/>
        <v>0.11346240000000002</v>
      </c>
      <c r="H10" s="3">
        <f t="shared" si="3"/>
        <v>1.3499999999999996</v>
      </c>
      <c r="I10" s="8">
        <f t="shared" si="4"/>
        <v>6.4844549999999987E-2</v>
      </c>
      <c r="J10" s="8">
        <v>1.25</v>
      </c>
      <c r="K10" s="8">
        <v>0.35</v>
      </c>
      <c r="L10" s="8">
        <f t="shared" si="5"/>
        <v>7.0139999999999994E-3</v>
      </c>
      <c r="M10" s="8">
        <f t="shared" si="6"/>
        <v>0.9</v>
      </c>
      <c r="N10" s="8">
        <f t="shared" si="7"/>
        <v>1.0944000000000001E-2</v>
      </c>
      <c r="O10" s="3">
        <f t="shared" si="8"/>
        <v>3.8499999999999996</v>
      </c>
      <c r="P10" s="3">
        <f t="shared" si="9"/>
        <v>8.854999999999999E-2</v>
      </c>
      <c r="Q10" s="3">
        <v>4.9000000000000004</v>
      </c>
      <c r="R10" s="3">
        <v>5</v>
      </c>
      <c r="S10" s="24">
        <f t="shared" si="10"/>
        <v>0.31791395</v>
      </c>
      <c r="U10" s="25">
        <v>1.8531950000000002E-2</v>
      </c>
      <c r="V10" s="26">
        <v>1.0885133333333332</v>
      </c>
      <c r="X10" s="3">
        <f t="shared" si="0"/>
        <v>1.7025009646184096E-2</v>
      </c>
    </row>
    <row r="11" spans="1:24" x14ac:dyDescent="0.4">
      <c r="A11" s="4"/>
      <c r="B11" s="6" t="s">
        <v>133</v>
      </c>
      <c r="C11" s="4" t="s">
        <v>113</v>
      </c>
      <c r="D11" s="3">
        <v>0.5</v>
      </c>
      <c r="E11" s="3">
        <f t="shared" si="1"/>
        <v>3.0089999999999999E-2</v>
      </c>
      <c r="F11" s="3">
        <v>4.9000000000000004</v>
      </c>
      <c r="G11" s="3">
        <f t="shared" si="2"/>
        <v>0.17373930000000001</v>
      </c>
      <c r="H11" s="3">
        <f t="shared" si="3"/>
        <v>1.0999999999999996</v>
      </c>
      <c r="I11" s="8">
        <f t="shared" si="4"/>
        <v>5.2836299999999982E-2</v>
      </c>
      <c r="J11" s="8">
        <v>1.1000000000000001</v>
      </c>
      <c r="K11" s="8">
        <v>0.45</v>
      </c>
      <c r="L11" s="8">
        <f t="shared" si="5"/>
        <v>9.018E-3</v>
      </c>
      <c r="M11" s="8">
        <f t="shared" si="6"/>
        <v>0.65000000000000013</v>
      </c>
      <c r="N11" s="8">
        <f t="shared" si="7"/>
        <v>7.9040000000000013E-3</v>
      </c>
      <c r="O11" s="3">
        <f t="shared" si="8"/>
        <v>5.4</v>
      </c>
      <c r="P11" s="3">
        <f t="shared" si="9"/>
        <v>0.1242</v>
      </c>
      <c r="Q11" s="3">
        <v>5</v>
      </c>
      <c r="R11" s="3">
        <v>5</v>
      </c>
      <c r="S11" s="24">
        <f t="shared" si="10"/>
        <v>0.39778760000000002</v>
      </c>
      <c r="X11" s="3"/>
    </row>
    <row r="12" spans="1:24" x14ac:dyDescent="0.4">
      <c r="A12" s="4"/>
      <c r="B12" s="6" t="s">
        <v>133</v>
      </c>
      <c r="C12" s="4" t="s">
        <v>114</v>
      </c>
      <c r="D12" s="3">
        <v>0.5</v>
      </c>
      <c r="E12" s="3">
        <f t="shared" si="1"/>
        <v>3.0089999999999999E-2</v>
      </c>
      <c r="F12" s="3">
        <v>5.0999999999999996</v>
      </c>
      <c r="G12" s="3">
        <f t="shared" si="2"/>
        <v>0.18083070000000001</v>
      </c>
      <c r="H12" s="3">
        <f t="shared" si="3"/>
        <v>1.0499999999999998</v>
      </c>
      <c r="I12" s="8">
        <f t="shared" si="4"/>
        <v>5.0434649999999991E-2</v>
      </c>
      <c r="J12" s="8">
        <v>1.05</v>
      </c>
      <c r="K12" s="8">
        <v>0.35</v>
      </c>
      <c r="L12" s="8">
        <f t="shared" si="5"/>
        <v>7.0139999999999994E-3</v>
      </c>
      <c r="M12" s="8">
        <f t="shared" si="6"/>
        <v>0.70000000000000007</v>
      </c>
      <c r="N12" s="8">
        <f t="shared" si="7"/>
        <v>8.5120000000000005E-3</v>
      </c>
      <c r="O12" s="3">
        <f t="shared" si="8"/>
        <v>5.6</v>
      </c>
      <c r="P12" s="3">
        <f t="shared" si="9"/>
        <v>0.1288</v>
      </c>
      <c r="Q12" s="3">
        <v>5</v>
      </c>
      <c r="R12" s="3">
        <v>5</v>
      </c>
      <c r="S12" s="24">
        <f t="shared" si="10"/>
        <v>0.40568135000000005</v>
      </c>
      <c r="W12" s="25"/>
      <c r="X12" s="3"/>
    </row>
    <row r="13" spans="1:24" x14ac:dyDescent="0.4">
      <c r="A13" s="4"/>
      <c r="B13" s="6"/>
      <c r="C13" s="4" t="s">
        <v>90</v>
      </c>
      <c r="D13" s="8">
        <v>0.5</v>
      </c>
      <c r="E13" s="8">
        <v>3.0089999999999999E-2</v>
      </c>
      <c r="F13" s="8">
        <v>5</v>
      </c>
      <c r="G13" s="8">
        <v>0.17728500000000003</v>
      </c>
      <c r="H13" s="8">
        <v>1.075</v>
      </c>
      <c r="I13" s="8">
        <v>5.1635474999999986E-2</v>
      </c>
      <c r="J13" s="8">
        <v>1.075</v>
      </c>
      <c r="K13" s="8">
        <v>0.4</v>
      </c>
      <c r="L13" s="8">
        <v>8.0159999999999988E-3</v>
      </c>
      <c r="M13" s="8">
        <v>0.67500000000000004</v>
      </c>
      <c r="N13" s="8">
        <v>8.208E-3</v>
      </c>
      <c r="O13" s="8">
        <v>5.5</v>
      </c>
      <c r="P13" s="8">
        <v>0.1265</v>
      </c>
      <c r="Q13" s="8">
        <v>5</v>
      </c>
      <c r="R13" s="8">
        <v>5</v>
      </c>
      <c r="S13" s="27">
        <v>0.40173447500000004</v>
      </c>
      <c r="W13" s="25"/>
      <c r="X13" s="3"/>
    </row>
    <row r="14" spans="1:24" x14ac:dyDescent="0.4">
      <c r="A14" s="4"/>
      <c r="B14" s="6" t="s">
        <v>133</v>
      </c>
      <c r="C14" s="4" t="s">
        <v>91</v>
      </c>
      <c r="D14" s="3">
        <v>0.55000000000000004</v>
      </c>
      <c r="E14" s="3">
        <f>D14*0.06018</f>
        <v>3.3099000000000003E-2</v>
      </c>
      <c r="F14" s="3">
        <v>5.2</v>
      </c>
      <c r="G14" s="3">
        <f>F14*0.035457</f>
        <v>0.18437640000000002</v>
      </c>
      <c r="H14" s="3">
        <f>(J14+R14)-Q14</f>
        <v>1.1500000000000004</v>
      </c>
      <c r="I14" s="8">
        <f>H14*0.048033</f>
        <v>5.5237950000000015E-2</v>
      </c>
      <c r="J14" s="8">
        <v>1.1499999999999999</v>
      </c>
      <c r="K14" s="8">
        <v>0.35</v>
      </c>
      <c r="L14" s="8">
        <f>K14*0.02004</f>
        <v>7.0139999999999994E-3</v>
      </c>
      <c r="M14" s="8">
        <f>J14-K14</f>
        <v>0.79999999999999993</v>
      </c>
      <c r="N14" s="8">
        <f>M14*0.01216</f>
        <v>9.7280000000000005E-3</v>
      </c>
      <c r="O14" s="3">
        <f>D14+F14+H14-J14</f>
        <v>5.75</v>
      </c>
      <c r="P14" s="3">
        <f>O14*0.023</f>
        <v>0.13225000000000001</v>
      </c>
      <c r="Q14" s="3">
        <v>5</v>
      </c>
      <c r="R14" s="3">
        <v>5</v>
      </c>
      <c r="S14" s="24">
        <f>E14+G14+I14+L14+N14+P14</f>
        <v>0.42170535000000009</v>
      </c>
      <c r="X14" s="3"/>
    </row>
    <row r="15" spans="1:24" x14ac:dyDescent="0.4">
      <c r="A15" s="4"/>
      <c r="B15" s="6" t="s">
        <v>133</v>
      </c>
      <c r="C15" s="4" t="s">
        <v>92</v>
      </c>
      <c r="D15" s="3">
        <v>0.5</v>
      </c>
      <c r="E15" s="3">
        <f>D15*0.06018</f>
        <v>3.0089999999999999E-2</v>
      </c>
      <c r="F15" s="3">
        <v>5.0999999999999996</v>
      </c>
      <c r="G15" s="3">
        <f>F15*0.035457</f>
        <v>0.18083070000000001</v>
      </c>
      <c r="H15" s="3">
        <f>(J15+R15)-Q15</f>
        <v>1</v>
      </c>
      <c r="I15" s="8">
        <f>H15*0.048033</f>
        <v>4.8032999999999999E-2</v>
      </c>
      <c r="J15" s="8">
        <v>1.05</v>
      </c>
      <c r="K15" s="8">
        <v>0.35</v>
      </c>
      <c r="L15" s="8">
        <f>K15*0.02004</f>
        <v>7.0139999999999994E-3</v>
      </c>
      <c r="M15" s="8">
        <f>J15-K15</f>
        <v>0.70000000000000007</v>
      </c>
      <c r="N15" s="8">
        <f>M15*0.01216</f>
        <v>8.5120000000000005E-3</v>
      </c>
      <c r="O15" s="3">
        <f>D15+F15+H15-J15</f>
        <v>5.55</v>
      </c>
      <c r="P15" s="3">
        <f>O15*0.023</f>
        <v>0.12764999999999999</v>
      </c>
      <c r="Q15" s="3">
        <v>5.05</v>
      </c>
      <c r="R15" s="3">
        <v>5</v>
      </c>
      <c r="S15" s="24">
        <f>E15+G15+I15+L15+N15+P15</f>
        <v>0.40212970000000003</v>
      </c>
      <c r="U15" s="25">
        <v>3.2201150000000005E-2</v>
      </c>
      <c r="V15" s="26">
        <v>3.9378600000000001</v>
      </c>
      <c r="X15" s="3">
        <f t="shared" si="0"/>
        <v>8.1773222003829506E-3</v>
      </c>
    </row>
    <row r="16" spans="1:24" x14ac:dyDescent="0.4">
      <c r="A16" s="4"/>
      <c r="B16" s="6" t="s">
        <v>133</v>
      </c>
      <c r="C16" s="4" t="s">
        <v>93</v>
      </c>
      <c r="D16" s="3">
        <v>0.45</v>
      </c>
      <c r="E16" s="3">
        <f>D16*0.06018</f>
        <v>2.7081000000000001E-2</v>
      </c>
      <c r="F16" s="3">
        <v>5.2</v>
      </c>
      <c r="G16" s="3">
        <f>F16*0.035457</f>
        <v>0.18437640000000002</v>
      </c>
      <c r="H16" s="3">
        <f>(J16+R16)-Q16</f>
        <v>1.1500000000000004</v>
      </c>
      <c r="I16" s="8">
        <f>H16*0.048033</f>
        <v>5.5237950000000015E-2</v>
      </c>
      <c r="J16" s="8">
        <v>1.25</v>
      </c>
      <c r="K16" s="8">
        <v>0.35</v>
      </c>
      <c r="L16" s="8">
        <f>K16*0.02004</f>
        <v>7.0139999999999994E-3</v>
      </c>
      <c r="M16" s="8">
        <f>J16-K16</f>
        <v>0.9</v>
      </c>
      <c r="N16" s="8">
        <f>M16*0.01216</f>
        <v>1.0944000000000001E-2</v>
      </c>
      <c r="O16" s="3">
        <f>D16+F16+H16-J16</f>
        <v>5.5500000000000007</v>
      </c>
      <c r="P16" s="3">
        <f>O16*0.023</f>
        <v>0.12765000000000001</v>
      </c>
      <c r="Q16" s="3">
        <v>5.0999999999999996</v>
      </c>
      <c r="R16" s="3">
        <v>5</v>
      </c>
      <c r="S16" s="24">
        <f>E16+G16+I16+L16+N16+P16</f>
        <v>0.41230335000000007</v>
      </c>
      <c r="U16" s="25">
        <v>2.6438199999999999E-2</v>
      </c>
      <c r="V16" s="26">
        <v>2.3110199999999996</v>
      </c>
      <c r="X16" s="3">
        <f t="shared" si="0"/>
        <v>1.1440056771468877E-2</v>
      </c>
    </row>
    <row r="17" spans="1:24" s="10" customFormat="1" x14ac:dyDescent="0.4">
      <c r="B17" s="6" t="s">
        <v>133</v>
      </c>
      <c r="C17" s="4" t="s">
        <v>89</v>
      </c>
      <c r="D17" s="3">
        <f t="shared" ref="D17:S21" si="11">AVERAGE(D12,D7)</f>
        <v>0.57499999999999996</v>
      </c>
      <c r="E17" s="3">
        <f t="shared" si="11"/>
        <v>3.4603499999999995E-2</v>
      </c>
      <c r="F17" s="3">
        <f t="shared" si="11"/>
        <v>5.05</v>
      </c>
      <c r="G17" s="3">
        <f t="shared" si="11"/>
        <v>0.17905785000000002</v>
      </c>
      <c r="H17" s="3">
        <f t="shared" si="11"/>
        <v>0.79999999999999982</v>
      </c>
      <c r="I17" s="3">
        <f t="shared" si="11"/>
        <v>3.8426399999999993E-2</v>
      </c>
      <c r="J17" s="3">
        <f t="shared" si="11"/>
        <v>0.95</v>
      </c>
      <c r="K17" s="3">
        <f t="shared" si="11"/>
        <v>0.27500000000000002</v>
      </c>
      <c r="L17" s="3">
        <f t="shared" si="11"/>
        <v>5.5110000000000003E-3</v>
      </c>
      <c r="M17" s="3">
        <f t="shared" si="11"/>
        <v>0.67500000000000004</v>
      </c>
      <c r="N17" s="3">
        <f t="shared" si="11"/>
        <v>8.208E-3</v>
      </c>
      <c r="O17" s="3">
        <f t="shared" si="11"/>
        <v>5.4749999999999996</v>
      </c>
      <c r="P17" s="3">
        <f t="shared" si="11"/>
        <v>0.12592500000000001</v>
      </c>
      <c r="Q17" s="3"/>
      <c r="R17" s="3"/>
      <c r="S17" s="24">
        <f t="shared" si="11"/>
        <v>0.39173175000000005</v>
      </c>
      <c r="U17" s="25">
        <f>AVERAGE(U3,U10)</f>
        <v>1.7698425E-2</v>
      </c>
      <c r="V17" s="25">
        <f>AVERAGE(V3,V10)</f>
        <v>1.1120316666666668</v>
      </c>
      <c r="X17" s="3">
        <f t="shared" si="0"/>
        <v>1.5915396593921934E-2</v>
      </c>
    </row>
    <row r="18" spans="1:24" s="10" customFormat="1" x14ac:dyDescent="0.4">
      <c r="B18" s="6" t="s">
        <v>133</v>
      </c>
      <c r="C18" s="4" t="s">
        <v>90</v>
      </c>
      <c r="D18" s="3">
        <f t="shared" si="11"/>
        <v>0.57499999999999996</v>
      </c>
      <c r="E18" s="3">
        <f t="shared" si="11"/>
        <v>3.4603499999999995E-2</v>
      </c>
      <c r="F18" s="3">
        <f t="shared" si="11"/>
        <v>5.05</v>
      </c>
      <c r="G18" s="3">
        <f t="shared" si="11"/>
        <v>0.17905785000000002</v>
      </c>
      <c r="H18" s="3">
        <f t="shared" si="11"/>
        <v>0.88750000000000007</v>
      </c>
      <c r="I18" s="3">
        <f t="shared" si="11"/>
        <v>4.2629287500000002E-2</v>
      </c>
      <c r="J18" s="3">
        <f t="shared" si="11"/>
        <v>1.0125</v>
      </c>
      <c r="K18" s="3">
        <f t="shared" si="11"/>
        <v>0.32500000000000001</v>
      </c>
      <c r="L18" s="3">
        <f t="shared" si="11"/>
        <v>6.5129999999999997E-3</v>
      </c>
      <c r="M18" s="3">
        <f t="shared" si="11"/>
        <v>0.6875</v>
      </c>
      <c r="N18" s="3">
        <f t="shared" si="11"/>
        <v>8.3599999999999994E-3</v>
      </c>
      <c r="O18" s="3">
        <f t="shared" si="11"/>
        <v>5.5</v>
      </c>
      <c r="P18" s="3">
        <f t="shared" si="11"/>
        <v>0.1265</v>
      </c>
      <c r="Q18" s="3"/>
      <c r="R18" s="3"/>
      <c r="S18" s="24">
        <f t="shared" si="11"/>
        <v>0.39766363750000006</v>
      </c>
      <c r="U18" s="25">
        <f>AVERAGE(U6,U13)</f>
        <v>3.3820500000000003E-2</v>
      </c>
      <c r="V18" s="25">
        <f>AVERAGE(V6,V13)</f>
        <v>3.8387799999999999</v>
      </c>
      <c r="X18" s="3">
        <f t="shared" si="0"/>
        <v>8.8102209556161076E-3</v>
      </c>
    </row>
    <row r="19" spans="1:24" s="10" customFormat="1" x14ac:dyDescent="0.4">
      <c r="B19" s="6" t="s">
        <v>133</v>
      </c>
      <c r="C19" s="4" t="s">
        <v>91</v>
      </c>
      <c r="D19" s="3">
        <f t="shared" si="11"/>
        <v>0.52500000000000002</v>
      </c>
      <c r="E19" s="3">
        <f t="shared" si="11"/>
        <v>3.1594499999999998E-2</v>
      </c>
      <c r="F19" s="3">
        <f t="shared" si="11"/>
        <v>5.4</v>
      </c>
      <c r="G19" s="3">
        <f t="shared" si="11"/>
        <v>0.19146780000000002</v>
      </c>
      <c r="H19" s="3">
        <f t="shared" si="11"/>
        <v>0.95000000000000018</v>
      </c>
      <c r="I19" s="3">
        <f t="shared" si="11"/>
        <v>4.5631350000000008E-2</v>
      </c>
      <c r="J19" s="3">
        <f t="shared" si="11"/>
        <v>1.075</v>
      </c>
      <c r="K19" s="3">
        <f t="shared" si="11"/>
        <v>0.35</v>
      </c>
      <c r="L19" s="3">
        <f t="shared" si="11"/>
        <v>7.0139999999999994E-3</v>
      </c>
      <c r="M19" s="3">
        <f t="shared" si="11"/>
        <v>0.72499999999999998</v>
      </c>
      <c r="N19" s="3">
        <f t="shared" si="11"/>
        <v>8.8160000000000009E-3</v>
      </c>
      <c r="O19" s="3">
        <f t="shared" si="11"/>
        <v>5.8</v>
      </c>
      <c r="P19" s="3">
        <f t="shared" si="11"/>
        <v>0.13340000000000002</v>
      </c>
      <c r="Q19" s="3"/>
      <c r="R19" s="3"/>
      <c r="S19" s="24">
        <f t="shared" si="11"/>
        <v>0.41792365000000009</v>
      </c>
      <c r="U19" s="25">
        <f t="shared" ref="U19:V21" si="12">AVERAGE(U7,U14)</f>
        <v>1.8817700000000003E-2</v>
      </c>
      <c r="V19" s="25">
        <f t="shared" si="12"/>
        <v>1.8021</v>
      </c>
      <c r="X19" s="3">
        <f t="shared" si="0"/>
        <v>1.0442095333222353E-2</v>
      </c>
    </row>
    <row r="20" spans="1:24" s="10" customFormat="1" x14ac:dyDescent="0.4">
      <c r="B20" s="6" t="s">
        <v>133</v>
      </c>
      <c r="C20" s="4" t="s">
        <v>92</v>
      </c>
      <c r="D20" s="3">
        <f t="shared" si="11"/>
        <v>0.52500000000000002</v>
      </c>
      <c r="E20" s="3">
        <f t="shared" si="11"/>
        <v>3.1594499999999998E-2</v>
      </c>
      <c r="F20" s="3">
        <f t="shared" si="11"/>
        <v>4.1500000000000004</v>
      </c>
      <c r="G20" s="3">
        <f t="shared" si="11"/>
        <v>0.14714655000000001</v>
      </c>
      <c r="H20" s="3">
        <f t="shared" si="11"/>
        <v>1.1749999999999998</v>
      </c>
      <c r="I20" s="3">
        <f t="shared" si="11"/>
        <v>5.6438774999999997E-2</v>
      </c>
      <c r="J20" s="3">
        <f t="shared" si="11"/>
        <v>1.1499999999999999</v>
      </c>
      <c r="K20" s="3">
        <f t="shared" si="11"/>
        <v>0.35</v>
      </c>
      <c r="L20" s="3">
        <f t="shared" si="11"/>
        <v>7.0139999999999994E-3</v>
      </c>
      <c r="M20" s="3">
        <f t="shared" si="11"/>
        <v>0.8</v>
      </c>
      <c r="N20" s="3">
        <f t="shared" si="11"/>
        <v>9.7280000000000005E-3</v>
      </c>
      <c r="O20" s="3">
        <f t="shared" si="11"/>
        <v>4.6999999999999993</v>
      </c>
      <c r="P20" s="3">
        <f t="shared" si="11"/>
        <v>0.10809999999999999</v>
      </c>
      <c r="Q20" s="3"/>
      <c r="R20" s="3"/>
      <c r="S20" s="24">
        <f t="shared" si="11"/>
        <v>0.36002182500000002</v>
      </c>
      <c r="U20" s="25">
        <f t="shared" si="12"/>
        <v>2.5973800000000002E-2</v>
      </c>
      <c r="V20" s="25">
        <f t="shared" si="12"/>
        <v>2.9625566666666669</v>
      </c>
      <c r="X20" s="3">
        <f t="shared" si="0"/>
        <v>8.7673597242021815E-3</v>
      </c>
    </row>
    <row r="21" spans="1:24" s="10" customFormat="1" x14ac:dyDescent="0.4">
      <c r="B21" s="6" t="s">
        <v>133</v>
      </c>
      <c r="C21" s="4" t="s">
        <v>93</v>
      </c>
      <c r="D21" s="3">
        <f t="shared" si="11"/>
        <v>0.47499999999999998</v>
      </c>
      <c r="E21" s="3">
        <f t="shared" si="11"/>
        <v>2.85855E-2</v>
      </c>
      <c r="F21" s="3">
        <f t="shared" si="11"/>
        <v>5.0500000000000007</v>
      </c>
      <c r="G21" s="3">
        <f t="shared" si="11"/>
        <v>0.17905785000000002</v>
      </c>
      <c r="H21" s="3">
        <f t="shared" si="11"/>
        <v>1.125</v>
      </c>
      <c r="I21" s="3">
        <f t="shared" si="11"/>
        <v>5.4037124999999998E-2</v>
      </c>
      <c r="J21" s="3">
        <f t="shared" si="11"/>
        <v>1.175</v>
      </c>
      <c r="K21" s="3">
        <f t="shared" si="11"/>
        <v>0.4</v>
      </c>
      <c r="L21" s="3">
        <f t="shared" si="11"/>
        <v>8.0159999999999988E-3</v>
      </c>
      <c r="M21" s="3">
        <f t="shared" si="11"/>
        <v>0.77500000000000013</v>
      </c>
      <c r="N21" s="3">
        <f t="shared" si="11"/>
        <v>9.4240000000000018E-3</v>
      </c>
      <c r="O21" s="3">
        <f t="shared" si="11"/>
        <v>5.4750000000000005</v>
      </c>
      <c r="P21" s="3">
        <f t="shared" si="11"/>
        <v>0.12592500000000001</v>
      </c>
      <c r="Q21" s="3"/>
      <c r="R21" s="3"/>
      <c r="S21" s="24">
        <f t="shared" si="11"/>
        <v>0.40504547500000004</v>
      </c>
      <c r="U21" s="25">
        <f t="shared" si="12"/>
        <v>2.2413599999999999E-2</v>
      </c>
      <c r="V21" s="25">
        <f t="shared" si="12"/>
        <v>2.6117666666666661</v>
      </c>
      <c r="X21" s="3">
        <f t="shared" si="0"/>
        <v>8.5817773410080036E-3</v>
      </c>
    </row>
    <row r="22" spans="1:24" x14ac:dyDescent="0.4">
      <c r="A22" s="4"/>
      <c r="B22" s="6"/>
      <c r="I22" s="8"/>
      <c r="J22" s="8"/>
      <c r="K22" s="8"/>
      <c r="L22" s="8"/>
      <c r="M22" s="8"/>
      <c r="N22" s="8"/>
      <c r="S22" s="24"/>
      <c r="X22" s="3">
        <f>AVERAGE(X3:X21)</f>
        <v>1.0731818885666666E-2</v>
      </c>
    </row>
    <row r="23" spans="1:24" x14ac:dyDescent="0.4">
      <c r="A23" s="4" t="s">
        <v>116</v>
      </c>
      <c r="B23" s="6" t="s">
        <v>134</v>
      </c>
      <c r="C23" s="4" t="s">
        <v>89</v>
      </c>
      <c r="D23" s="3">
        <v>0.45</v>
      </c>
      <c r="E23" s="3">
        <f>D23*0.06018</f>
        <v>2.7081000000000001E-2</v>
      </c>
      <c r="F23" s="3">
        <v>2.1</v>
      </c>
      <c r="G23" s="3">
        <f>F23*0.035457</f>
        <v>7.4459700000000004E-2</v>
      </c>
      <c r="H23" s="8">
        <f>(J23+R23)-Q23</f>
        <v>0.79999999999999982</v>
      </c>
      <c r="I23" s="8">
        <f>H23*0.048033</f>
        <v>3.8426399999999993E-2</v>
      </c>
      <c r="J23" s="8">
        <v>0.8</v>
      </c>
      <c r="K23" s="8">
        <v>0.25</v>
      </c>
      <c r="L23" s="8">
        <f>K23*0.02004</f>
        <v>5.0099999999999997E-3</v>
      </c>
      <c r="M23" s="8">
        <f>J23-K23</f>
        <v>0.55000000000000004</v>
      </c>
      <c r="N23" s="8">
        <f>M23*0.01216</f>
        <v>6.6880000000000012E-3</v>
      </c>
      <c r="O23" s="8">
        <f>D23+F23+H23-J23</f>
        <v>2.5499999999999998</v>
      </c>
      <c r="P23" s="8">
        <f>O23*0.023</f>
        <v>5.8649999999999994E-2</v>
      </c>
      <c r="Q23" s="3">
        <v>5</v>
      </c>
      <c r="R23" s="3">
        <v>5</v>
      </c>
      <c r="S23" s="24">
        <f>E23+G23+I23+L23+N23+P23</f>
        <v>0.21031509999999998</v>
      </c>
      <c r="U23" s="25">
        <v>1.057805E-2</v>
      </c>
      <c r="V23" s="26">
        <v>0.74623000000000006</v>
      </c>
      <c r="X23" s="3"/>
    </row>
    <row r="24" spans="1:24" x14ac:dyDescent="0.4">
      <c r="A24" s="4"/>
      <c r="B24" s="6" t="s">
        <v>134</v>
      </c>
      <c r="C24" s="4" t="s">
        <v>113</v>
      </c>
      <c r="D24" s="3">
        <v>0.45</v>
      </c>
      <c r="E24" s="3">
        <f>D24*0.06018</f>
        <v>2.7081000000000001E-2</v>
      </c>
      <c r="F24" s="3">
        <v>3.9</v>
      </c>
      <c r="G24" s="3">
        <f>F24*0.035457</f>
        <v>0.1382823</v>
      </c>
      <c r="H24" s="8">
        <f>(J24+R24)-Q24</f>
        <v>1.2000000000000002</v>
      </c>
      <c r="I24" s="8">
        <f>H24*0.048033</f>
        <v>5.7639600000000006E-2</v>
      </c>
      <c r="J24" s="8">
        <v>1.3</v>
      </c>
      <c r="K24" s="8">
        <v>0.5</v>
      </c>
      <c r="L24" s="8">
        <f>K24*0.02004</f>
        <v>1.0019999999999999E-2</v>
      </c>
      <c r="M24" s="8">
        <f>J24-K24</f>
        <v>0.8</v>
      </c>
      <c r="N24" s="8">
        <f>M24*0.01216</f>
        <v>9.7280000000000005E-3</v>
      </c>
      <c r="O24" s="8">
        <f>D24+F24+H24-J24</f>
        <v>4.25</v>
      </c>
      <c r="P24" s="8">
        <f>O24*0.023</f>
        <v>9.7750000000000004E-2</v>
      </c>
      <c r="Q24" s="3">
        <v>5.0999999999999996</v>
      </c>
      <c r="R24" s="3">
        <v>5</v>
      </c>
      <c r="S24" s="24">
        <f>E24+G24+I24+L24+N24+P24</f>
        <v>0.3405009</v>
      </c>
      <c r="X24" s="3"/>
    </row>
    <row r="25" spans="1:24" x14ac:dyDescent="0.4">
      <c r="A25" s="4"/>
      <c r="B25" s="6" t="s">
        <v>134</v>
      </c>
      <c r="C25" s="4" t="s">
        <v>114</v>
      </c>
      <c r="D25" s="3">
        <v>0.45</v>
      </c>
      <c r="E25" s="3">
        <f>D25*0.06018</f>
        <v>2.7081000000000001E-2</v>
      </c>
      <c r="F25" s="3">
        <v>4.05</v>
      </c>
      <c r="G25" s="3">
        <f>F25*0.035457</f>
        <v>0.14360085</v>
      </c>
      <c r="H25" s="8">
        <f>(J25+R25)-Q25</f>
        <v>1.2999999999999998</v>
      </c>
      <c r="I25" s="8">
        <f>H25*0.048033</f>
        <v>6.2442899999999989E-2</v>
      </c>
      <c r="J25" s="8">
        <v>1.35</v>
      </c>
      <c r="K25" s="8">
        <v>0.5</v>
      </c>
      <c r="L25" s="8">
        <f>K25*0.02004</f>
        <v>1.0019999999999999E-2</v>
      </c>
      <c r="M25" s="8">
        <f>J25-K25</f>
        <v>0.85000000000000009</v>
      </c>
      <c r="N25" s="8">
        <f>M25*0.01216</f>
        <v>1.0336000000000001E-2</v>
      </c>
      <c r="O25" s="8">
        <f>D25+F25+H25-J25</f>
        <v>4.4499999999999993</v>
      </c>
      <c r="P25" s="8">
        <f>O25*0.023</f>
        <v>0.10234999999999998</v>
      </c>
      <c r="Q25" s="3">
        <v>5.05</v>
      </c>
      <c r="R25" s="3">
        <v>5</v>
      </c>
      <c r="S25" s="24">
        <f>E25+G25+I25+L25+N25+P25</f>
        <v>0.35583074999999997</v>
      </c>
      <c r="X25" s="3"/>
    </row>
    <row r="26" spans="1:24" x14ac:dyDescent="0.4">
      <c r="A26" s="4"/>
      <c r="B26" s="6"/>
      <c r="C26" s="4" t="s">
        <v>90</v>
      </c>
      <c r="D26" s="8">
        <v>0.45</v>
      </c>
      <c r="E26" s="8">
        <v>2.7081000000000001E-2</v>
      </c>
      <c r="F26" s="8">
        <v>3.9750000000000001</v>
      </c>
      <c r="G26" s="8">
        <v>0.14094157499999999</v>
      </c>
      <c r="H26" s="8">
        <v>1.25</v>
      </c>
      <c r="I26" s="8">
        <v>6.0041249999999997E-2</v>
      </c>
      <c r="J26" s="8">
        <v>1.325</v>
      </c>
      <c r="K26" s="8">
        <v>0.5</v>
      </c>
      <c r="L26" s="8">
        <v>1.0019999999999999E-2</v>
      </c>
      <c r="M26" s="8">
        <v>0.82499999999999996</v>
      </c>
      <c r="N26" s="8">
        <v>1.0032000000000001E-2</v>
      </c>
      <c r="O26" s="8">
        <v>4.3499999999999996</v>
      </c>
      <c r="P26" s="8">
        <v>0.10005</v>
      </c>
      <c r="Q26" s="8">
        <v>5.0750000000000002</v>
      </c>
      <c r="R26" s="8">
        <v>5</v>
      </c>
      <c r="S26" s="27">
        <v>0.34816582499999998</v>
      </c>
      <c r="U26" s="25">
        <v>2.0079799999999998E-2</v>
      </c>
      <c r="V26" s="26">
        <v>3.1276933333333332</v>
      </c>
      <c r="X26" s="3"/>
    </row>
    <row r="27" spans="1:24" x14ac:dyDescent="0.4">
      <c r="A27" s="4"/>
      <c r="B27" s="6" t="s">
        <v>134</v>
      </c>
      <c r="C27" s="4" t="s">
        <v>91</v>
      </c>
      <c r="D27" s="3">
        <v>0.45</v>
      </c>
      <c r="E27" s="3">
        <f t="shared" ref="E27:E32" si="13">D27*0.06018</f>
        <v>2.7081000000000001E-2</v>
      </c>
      <c r="F27" s="3">
        <v>4.4000000000000004</v>
      </c>
      <c r="G27" s="3">
        <f t="shared" ref="G27:G32" si="14">F27*0.035457</f>
        <v>0.15601080000000003</v>
      </c>
      <c r="H27" s="8">
        <f t="shared" ref="H27:H32" si="15">(J27+R27)-Q27</f>
        <v>1.0999999999999996</v>
      </c>
      <c r="I27" s="8">
        <f t="shared" ref="I27:I32" si="16">H27*0.048033</f>
        <v>5.2836299999999982E-2</v>
      </c>
      <c r="J27" s="8">
        <v>1.1000000000000001</v>
      </c>
      <c r="K27" s="8">
        <v>0.4</v>
      </c>
      <c r="L27" s="8">
        <f t="shared" ref="L27:L32" si="17">K27*0.02004</f>
        <v>8.0160000000000006E-3</v>
      </c>
      <c r="M27" s="8">
        <f t="shared" ref="M27:M32" si="18">J27-K27</f>
        <v>0.70000000000000007</v>
      </c>
      <c r="N27" s="8">
        <f t="shared" ref="N27:N32" si="19">M27*0.01216</f>
        <v>8.5120000000000005E-3</v>
      </c>
      <c r="O27" s="8">
        <f t="shared" ref="O27:O32" si="20">D27+F27+H27-J27</f>
        <v>4.8499999999999996</v>
      </c>
      <c r="P27" s="8">
        <f t="shared" ref="P27:P32" si="21">O27*0.023</f>
        <v>0.11155</v>
      </c>
      <c r="Q27" s="3">
        <v>5</v>
      </c>
      <c r="R27" s="3">
        <v>5</v>
      </c>
      <c r="S27" s="24">
        <f t="shared" ref="S27:S32" si="22">E27+G27+I27+L27+N27+P27</f>
        <v>0.3640061</v>
      </c>
      <c r="U27" s="25">
        <v>1.484075E-2</v>
      </c>
      <c r="V27" s="26">
        <v>1.2466433333333333</v>
      </c>
      <c r="X27" s="3"/>
    </row>
    <row r="28" spans="1:24" x14ac:dyDescent="0.4">
      <c r="A28" s="4"/>
      <c r="B28" s="6" t="s">
        <v>134</v>
      </c>
      <c r="C28" s="4" t="s">
        <v>92</v>
      </c>
      <c r="D28" s="3">
        <v>0.45</v>
      </c>
      <c r="E28" s="3">
        <f t="shared" si="13"/>
        <v>2.7081000000000001E-2</v>
      </c>
      <c r="F28" s="3">
        <v>4.7</v>
      </c>
      <c r="G28" s="3">
        <f t="shared" si="14"/>
        <v>0.16664790000000002</v>
      </c>
      <c r="H28" s="8">
        <f t="shared" si="15"/>
        <v>1.2999999999999998</v>
      </c>
      <c r="I28" s="8">
        <f t="shared" si="16"/>
        <v>6.2442899999999989E-2</v>
      </c>
      <c r="J28" s="8">
        <v>1.35</v>
      </c>
      <c r="K28" s="8">
        <v>0.4</v>
      </c>
      <c r="L28" s="8">
        <f t="shared" si="17"/>
        <v>8.0160000000000006E-3</v>
      </c>
      <c r="M28" s="8">
        <f t="shared" si="18"/>
        <v>0.95000000000000007</v>
      </c>
      <c r="N28" s="8">
        <f t="shared" si="19"/>
        <v>1.1552000000000002E-2</v>
      </c>
      <c r="O28" s="8">
        <f t="shared" si="20"/>
        <v>5.0999999999999996</v>
      </c>
      <c r="P28" s="8">
        <f t="shared" si="21"/>
        <v>0.11729999999999999</v>
      </c>
      <c r="Q28" s="3">
        <v>5.05</v>
      </c>
      <c r="R28" s="3">
        <v>5</v>
      </c>
      <c r="S28" s="24">
        <f t="shared" si="22"/>
        <v>0.39303980000000005</v>
      </c>
      <c r="U28" s="25">
        <v>1.5936250000000002E-2</v>
      </c>
      <c r="V28" s="26">
        <v>1.5553966666666668</v>
      </c>
      <c r="X28" s="3"/>
    </row>
    <row r="29" spans="1:24" x14ac:dyDescent="0.4">
      <c r="A29" s="4"/>
      <c r="B29" s="6" t="s">
        <v>134</v>
      </c>
      <c r="C29" s="4" t="s">
        <v>93</v>
      </c>
      <c r="D29" s="3">
        <v>0.45</v>
      </c>
      <c r="E29" s="3">
        <f t="shared" si="13"/>
        <v>2.7081000000000001E-2</v>
      </c>
      <c r="F29" s="3">
        <v>5.2</v>
      </c>
      <c r="G29" s="3">
        <f t="shared" si="14"/>
        <v>0.18437640000000002</v>
      </c>
      <c r="H29" s="8">
        <f t="shared" si="15"/>
        <v>1.1500000000000004</v>
      </c>
      <c r="I29" s="8">
        <f t="shared" si="16"/>
        <v>5.5237950000000015E-2</v>
      </c>
      <c r="J29" s="8">
        <v>1.25</v>
      </c>
      <c r="K29" s="8">
        <v>0.55000000000000004</v>
      </c>
      <c r="L29" s="8">
        <f t="shared" si="17"/>
        <v>1.1022000000000001E-2</v>
      </c>
      <c r="M29" s="8">
        <f t="shared" si="18"/>
        <v>0.7</v>
      </c>
      <c r="N29" s="8">
        <f t="shared" si="19"/>
        <v>8.5120000000000005E-3</v>
      </c>
      <c r="O29" s="8">
        <f t="shared" si="20"/>
        <v>5.5500000000000007</v>
      </c>
      <c r="P29" s="8">
        <f t="shared" si="21"/>
        <v>0.12765000000000001</v>
      </c>
      <c r="Q29" s="3">
        <v>5.0999999999999996</v>
      </c>
      <c r="R29" s="3">
        <v>5</v>
      </c>
      <c r="S29" s="24">
        <f t="shared" si="22"/>
        <v>0.41387935000000009</v>
      </c>
      <c r="U29" s="25">
        <v>1.6841150000000003E-2</v>
      </c>
      <c r="V29" s="26">
        <v>1.6549766666666665</v>
      </c>
    </row>
    <row r="30" spans="1:24" x14ac:dyDescent="0.4">
      <c r="A30" s="4" t="s">
        <v>117</v>
      </c>
      <c r="B30" s="6" t="s">
        <v>134</v>
      </c>
      <c r="C30" s="4" t="s">
        <v>89</v>
      </c>
      <c r="D30" s="3">
        <v>0.55000000000000004</v>
      </c>
      <c r="E30" s="3">
        <f t="shared" si="13"/>
        <v>3.3099000000000003E-2</v>
      </c>
      <c r="F30" s="3">
        <v>2.7</v>
      </c>
      <c r="G30" s="3">
        <f t="shared" si="14"/>
        <v>9.5733900000000011E-2</v>
      </c>
      <c r="H30" s="3">
        <f t="shared" si="15"/>
        <v>0.54999999999999982</v>
      </c>
      <c r="I30" s="8">
        <f t="shared" si="16"/>
        <v>2.6418149999999991E-2</v>
      </c>
      <c r="J30" s="8">
        <v>0.6</v>
      </c>
      <c r="K30" s="8">
        <v>0.2</v>
      </c>
      <c r="L30" s="8">
        <f t="shared" si="17"/>
        <v>4.0080000000000003E-3</v>
      </c>
      <c r="M30" s="8">
        <f t="shared" si="18"/>
        <v>0.39999999999999997</v>
      </c>
      <c r="N30" s="8">
        <f t="shared" si="19"/>
        <v>4.8640000000000003E-3</v>
      </c>
      <c r="O30" s="3">
        <f t="shared" si="20"/>
        <v>3.1999999999999997</v>
      </c>
      <c r="P30" s="3">
        <f t="shared" si="21"/>
        <v>7.3599999999999999E-2</v>
      </c>
      <c r="Q30" s="3">
        <v>5.05</v>
      </c>
      <c r="R30" s="3">
        <v>5</v>
      </c>
      <c r="S30" s="24">
        <f t="shared" si="22"/>
        <v>0.23772305000000005</v>
      </c>
      <c r="U30" s="25">
        <v>2.6747799999999999E-2</v>
      </c>
      <c r="V30" s="26">
        <v>1.7975966666666665</v>
      </c>
    </row>
    <row r="31" spans="1:24" x14ac:dyDescent="0.4">
      <c r="A31" s="4"/>
      <c r="B31" s="6" t="s">
        <v>134</v>
      </c>
      <c r="C31" s="4" t="s">
        <v>113</v>
      </c>
      <c r="D31" s="3">
        <v>0.6</v>
      </c>
      <c r="E31" s="3">
        <f t="shared" si="13"/>
        <v>3.6107999999999994E-2</v>
      </c>
      <c r="F31" s="3">
        <v>3.9</v>
      </c>
      <c r="G31" s="3">
        <f t="shared" si="14"/>
        <v>0.1382823</v>
      </c>
      <c r="H31" s="3">
        <f t="shared" si="15"/>
        <v>0.90000000000000036</v>
      </c>
      <c r="I31" s="8">
        <f t="shared" si="16"/>
        <v>4.3229700000000017E-2</v>
      </c>
      <c r="J31" s="8">
        <v>0.9</v>
      </c>
      <c r="K31" s="8">
        <v>0.25</v>
      </c>
      <c r="L31" s="8">
        <f t="shared" si="17"/>
        <v>5.0099999999999997E-3</v>
      </c>
      <c r="M31" s="8">
        <f t="shared" si="18"/>
        <v>0.65</v>
      </c>
      <c r="N31" s="8">
        <f t="shared" si="19"/>
        <v>7.9040000000000013E-3</v>
      </c>
      <c r="O31" s="3">
        <f t="shared" si="20"/>
        <v>4.5</v>
      </c>
      <c r="P31" s="3">
        <f t="shared" si="21"/>
        <v>0.10349999999999999</v>
      </c>
      <c r="Q31" s="3">
        <v>5</v>
      </c>
      <c r="R31" s="3">
        <v>5</v>
      </c>
      <c r="S31" s="24">
        <f t="shared" si="22"/>
        <v>0.334034</v>
      </c>
    </row>
    <row r="32" spans="1:24" x14ac:dyDescent="0.4">
      <c r="A32" s="4"/>
      <c r="B32" s="6" t="s">
        <v>134</v>
      </c>
      <c r="C32" s="4" t="s">
        <v>114</v>
      </c>
      <c r="D32" s="3">
        <v>0.7</v>
      </c>
      <c r="E32" s="3">
        <f t="shared" si="13"/>
        <v>4.2125999999999997E-2</v>
      </c>
      <c r="F32" s="3">
        <v>3.8</v>
      </c>
      <c r="G32" s="3">
        <f t="shared" si="14"/>
        <v>0.13473660000000001</v>
      </c>
      <c r="H32" s="3">
        <f t="shared" si="15"/>
        <v>0.70000000000000018</v>
      </c>
      <c r="I32" s="8">
        <f t="shared" si="16"/>
        <v>3.362310000000001E-2</v>
      </c>
      <c r="J32" s="8">
        <v>0.95</v>
      </c>
      <c r="K32" s="8">
        <v>0.25</v>
      </c>
      <c r="L32" s="8">
        <f t="shared" si="17"/>
        <v>5.0099999999999997E-3</v>
      </c>
      <c r="M32" s="8">
        <f t="shared" si="18"/>
        <v>0.7</v>
      </c>
      <c r="N32" s="8">
        <f t="shared" si="19"/>
        <v>8.5120000000000005E-3</v>
      </c>
      <c r="O32" s="3">
        <f t="shared" si="20"/>
        <v>4.25</v>
      </c>
      <c r="P32" s="3">
        <f t="shared" si="21"/>
        <v>9.7750000000000004E-2</v>
      </c>
      <c r="Q32" s="3">
        <v>5.25</v>
      </c>
      <c r="R32" s="3">
        <v>5</v>
      </c>
      <c r="S32" s="24">
        <f t="shared" si="22"/>
        <v>0.32175770000000004</v>
      </c>
    </row>
    <row r="33" spans="1:24" x14ac:dyDescent="0.4">
      <c r="A33" s="4"/>
      <c r="B33" s="6"/>
      <c r="C33" s="4" t="s">
        <v>90</v>
      </c>
      <c r="D33" s="8">
        <v>0.65</v>
      </c>
      <c r="E33" s="8">
        <v>3.9116999999999999E-2</v>
      </c>
      <c r="F33" s="8">
        <v>3.85</v>
      </c>
      <c r="G33" s="8">
        <v>0.13650945</v>
      </c>
      <c r="H33" s="8">
        <v>0.8</v>
      </c>
      <c r="I33" s="8">
        <v>3.8426400000000013E-2</v>
      </c>
      <c r="J33" s="8">
        <v>0.92500000000000004</v>
      </c>
      <c r="K33" s="8">
        <v>0.25</v>
      </c>
      <c r="L33" s="8">
        <v>5.0099999999999997E-3</v>
      </c>
      <c r="M33" s="8">
        <v>0.67500000000000004</v>
      </c>
      <c r="N33" s="8">
        <v>8.208E-3</v>
      </c>
      <c r="O33" s="8">
        <v>4.375</v>
      </c>
      <c r="P33" s="8">
        <v>0.10062500000000001</v>
      </c>
      <c r="Q33" s="8">
        <v>5.125</v>
      </c>
      <c r="R33" s="8">
        <v>5</v>
      </c>
      <c r="S33" s="27">
        <v>0.32789584999999999</v>
      </c>
      <c r="U33" s="25">
        <v>2.6200049999999999E-2</v>
      </c>
      <c r="V33" s="26">
        <v>1.86215</v>
      </c>
    </row>
    <row r="34" spans="1:24" x14ac:dyDescent="0.4">
      <c r="A34" s="4"/>
      <c r="B34" s="6" t="s">
        <v>134</v>
      </c>
      <c r="C34" s="4" t="s">
        <v>91</v>
      </c>
      <c r="D34" s="3">
        <v>0.7</v>
      </c>
      <c r="E34" s="3">
        <f>D34*0.06018</f>
        <v>4.2125999999999997E-2</v>
      </c>
      <c r="F34" s="3">
        <v>4</v>
      </c>
      <c r="G34" s="3">
        <f>F34*0.035457</f>
        <v>0.14182800000000001</v>
      </c>
      <c r="H34" s="3">
        <f>(J34+R34)-Q34</f>
        <v>0.54999999999999982</v>
      </c>
      <c r="I34" s="8">
        <f>H34*0.048033</f>
        <v>2.6418149999999991E-2</v>
      </c>
      <c r="J34" s="8">
        <v>0.55000000000000004</v>
      </c>
      <c r="K34" s="8">
        <v>0.2</v>
      </c>
      <c r="L34" s="8">
        <f>K34*0.02004</f>
        <v>4.0080000000000003E-3</v>
      </c>
      <c r="M34" s="8">
        <f>J34-K34</f>
        <v>0.35000000000000003</v>
      </c>
      <c r="N34" s="8">
        <f>M34*0.01216</f>
        <v>4.2560000000000002E-3</v>
      </c>
      <c r="O34" s="3">
        <f>D34+F34+H34-J34</f>
        <v>4.7</v>
      </c>
      <c r="P34" s="3">
        <f>O34*0.023</f>
        <v>0.1081</v>
      </c>
      <c r="Q34" s="3">
        <v>5</v>
      </c>
      <c r="R34" s="3">
        <v>5</v>
      </c>
      <c r="S34" s="24">
        <f>E34+G34+I34+L34+N34+P34</f>
        <v>0.32673615</v>
      </c>
      <c r="U34" s="25">
        <v>3.046275E-2</v>
      </c>
      <c r="V34" s="26">
        <v>2.1598933333333332</v>
      </c>
    </row>
    <row r="35" spans="1:24" x14ac:dyDescent="0.4">
      <c r="A35" s="4"/>
      <c r="B35" s="6" t="s">
        <v>134</v>
      </c>
      <c r="C35" s="4" t="s">
        <v>92</v>
      </c>
      <c r="D35" s="3">
        <v>0.7</v>
      </c>
      <c r="E35" s="3">
        <f>D35*0.06018</f>
        <v>4.2125999999999997E-2</v>
      </c>
      <c r="F35" s="3">
        <v>4.2</v>
      </c>
      <c r="G35" s="3">
        <f>F35*0.035457</f>
        <v>0.14891940000000001</v>
      </c>
      <c r="H35" s="3">
        <f>(J35+R35)-Q35</f>
        <v>0.75</v>
      </c>
      <c r="I35" s="8">
        <f>H35*0.048033</f>
        <v>3.6024750000000001E-2</v>
      </c>
      <c r="J35" s="8">
        <v>0.8</v>
      </c>
      <c r="K35" s="8">
        <v>0.25</v>
      </c>
      <c r="L35" s="8">
        <f>K35*0.02004</f>
        <v>5.0099999999999997E-3</v>
      </c>
      <c r="M35" s="8">
        <f>J35-K35</f>
        <v>0.55000000000000004</v>
      </c>
      <c r="N35" s="8">
        <f>M35*0.01216</f>
        <v>6.6880000000000012E-3</v>
      </c>
      <c r="O35" s="3">
        <f>D35+F35+H35-J35</f>
        <v>4.8500000000000005</v>
      </c>
      <c r="P35" s="3">
        <f>O35*0.023</f>
        <v>0.11155000000000001</v>
      </c>
      <c r="Q35" s="3">
        <v>5.05</v>
      </c>
      <c r="R35" s="3">
        <v>5</v>
      </c>
      <c r="S35" s="24">
        <f>E35+G35+I35+L35+N35+P35</f>
        <v>0.35031814999999999</v>
      </c>
      <c r="U35" s="25">
        <v>2.7628899999999998E-2</v>
      </c>
      <c r="V35" s="26">
        <v>2.5281966666666666</v>
      </c>
    </row>
    <row r="36" spans="1:24" x14ac:dyDescent="0.4">
      <c r="A36" s="4"/>
      <c r="B36" s="6" t="s">
        <v>134</v>
      </c>
      <c r="C36" s="4" t="s">
        <v>93</v>
      </c>
      <c r="D36" s="3">
        <v>0.55000000000000004</v>
      </c>
      <c r="E36" s="3">
        <f>D36*0.06018</f>
        <v>3.3099000000000003E-2</v>
      </c>
      <c r="F36" s="3">
        <v>4.1500000000000004</v>
      </c>
      <c r="G36" s="3">
        <f>F36*0.035457</f>
        <v>0.14714655000000001</v>
      </c>
      <c r="H36" s="3">
        <f>(J36+R36)-Q36</f>
        <v>0.79999999999999982</v>
      </c>
      <c r="I36" s="8">
        <f>H36*0.048033</f>
        <v>3.8426399999999993E-2</v>
      </c>
      <c r="J36" s="8">
        <v>0.8</v>
      </c>
      <c r="K36" s="8">
        <v>0.2</v>
      </c>
      <c r="L36" s="8">
        <f>K36*0.02004</f>
        <v>4.0080000000000003E-3</v>
      </c>
      <c r="M36" s="8">
        <f>J36-K36</f>
        <v>0.60000000000000009</v>
      </c>
      <c r="N36" s="8">
        <f>M36*0.01216</f>
        <v>7.2960000000000013E-3</v>
      </c>
      <c r="O36" s="3">
        <f>D36+F36+H36-J36</f>
        <v>4.7</v>
      </c>
      <c r="P36" s="3">
        <f>O36*0.023</f>
        <v>0.1081</v>
      </c>
      <c r="Q36" s="3">
        <v>5</v>
      </c>
      <c r="R36" s="3">
        <v>5</v>
      </c>
      <c r="S36" s="24">
        <f>E36+G36+I36+L36+N36+P36</f>
        <v>0.33807595000000001</v>
      </c>
      <c r="U36" s="25">
        <v>2.7319300000000001E-2</v>
      </c>
      <c r="V36" s="26">
        <v>1.8126066666666667</v>
      </c>
    </row>
    <row r="37" spans="1:24" s="10" customFormat="1" x14ac:dyDescent="0.4">
      <c r="B37" s="6" t="s">
        <v>134</v>
      </c>
      <c r="C37" s="4" t="s">
        <v>89</v>
      </c>
      <c r="D37" s="3">
        <f t="shared" ref="D37:S41" si="23">AVERAGE(D32,D27)</f>
        <v>0.57499999999999996</v>
      </c>
      <c r="E37" s="3">
        <f t="shared" si="23"/>
        <v>3.4603499999999995E-2</v>
      </c>
      <c r="F37" s="3">
        <f t="shared" si="23"/>
        <v>4.0999999999999996</v>
      </c>
      <c r="G37" s="3">
        <f t="shared" si="23"/>
        <v>0.14537370000000002</v>
      </c>
      <c r="H37" s="3">
        <f t="shared" si="23"/>
        <v>0.89999999999999991</v>
      </c>
      <c r="I37" s="3">
        <f t="shared" si="23"/>
        <v>4.3229699999999996E-2</v>
      </c>
      <c r="J37" s="3">
        <f t="shared" si="23"/>
        <v>1.0249999999999999</v>
      </c>
      <c r="K37" s="3">
        <f t="shared" si="23"/>
        <v>0.32500000000000001</v>
      </c>
      <c r="L37" s="3">
        <f t="shared" si="23"/>
        <v>6.5129999999999997E-3</v>
      </c>
      <c r="M37" s="3">
        <f t="shared" si="23"/>
        <v>0.7</v>
      </c>
      <c r="N37" s="3">
        <f t="shared" si="23"/>
        <v>8.5120000000000005E-3</v>
      </c>
      <c r="O37" s="3">
        <f t="shared" si="23"/>
        <v>4.55</v>
      </c>
      <c r="P37" s="3">
        <f t="shared" si="23"/>
        <v>0.10464999999999999</v>
      </c>
      <c r="Q37" s="3"/>
      <c r="R37" s="3"/>
      <c r="S37" s="24">
        <f t="shared" si="23"/>
        <v>0.34288190000000002</v>
      </c>
      <c r="U37" s="25">
        <f>AVERAGE(U23,U30)</f>
        <v>1.8662925E-2</v>
      </c>
      <c r="V37" s="25">
        <f>AVERAGE(V23,V30)</f>
        <v>1.2719133333333332</v>
      </c>
    </row>
    <row r="38" spans="1:24" s="10" customFormat="1" x14ac:dyDescent="0.4">
      <c r="B38" s="6" t="s">
        <v>134</v>
      </c>
      <c r="C38" s="4" t="s">
        <v>90</v>
      </c>
      <c r="D38" s="3">
        <f t="shared" si="23"/>
        <v>0.55000000000000004</v>
      </c>
      <c r="E38" s="3">
        <f t="shared" si="23"/>
        <v>3.3099000000000003E-2</v>
      </c>
      <c r="F38" s="3">
        <f t="shared" si="23"/>
        <v>4.2750000000000004</v>
      </c>
      <c r="G38" s="3">
        <f t="shared" si="23"/>
        <v>0.151578675</v>
      </c>
      <c r="H38" s="3">
        <f t="shared" si="23"/>
        <v>1.0499999999999998</v>
      </c>
      <c r="I38" s="3">
        <f t="shared" si="23"/>
        <v>5.0434649999999998E-2</v>
      </c>
      <c r="J38" s="3">
        <f t="shared" si="23"/>
        <v>1.1375000000000002</v>
      </c>
      <c r="K38" s="3">
        <f t="shared" si="23"/>
        <v>0.32500000000000001</v>
      </c>
      <c r="L38" s="3">
        <f t="shared" si="23"/>
        <v>6.5129999999999997E-3</v>
      </c>
      <c r="M38" s="3">
        <f t="shared" si="23"/>
        <v>0.8125</v>
      </c>
      <c r="N38" s="3">
        <f t="shared" si="23"/>
        <v>9.8799999999999999E-3</v>
      </c>
      <c r="O38" s="3">
        <f t="shared" si="23"/>
        <v>4.7374999999999998</v>
      </c>
      <c r="P38" s="3">
        <f t="shared" si="23"/>
        <v>0.10896249999999999</v>
      </c>
      <c r="Q38" s="3"/>
      <c r="R38" s="3"/>
      <c r="S38" s="24">
        <f t="shared" si="23"/>
        <v>0.36046782500000002</v>
      </c>
      <c r="U38" s="25">
        <f t="shared" ref="U38:V41" si="24">AVERAGE(U26,U33)</f>
        <v>2.3139924999999999E-2</v>
      </c>
      <c r="V38" s="25">
        <f t="shared" si="24"/>
        <v>2.4949216666666665</v>
      </c>
    </row>
    <row r="39" spans="1:24" s="10" customFormat="1" x14ac:dyDescent="0.4">
      <c r="B39" s="6" t="s">
        <v>134</v>
      </c>
      <c r="C39" s="4" t="s">
        <v>91</v>
      </c>
      <c r="D39" s="3">
        <f t="shared" si="23"/>
        <v>0.57499999999999996</v>
      </c>
      <c r="E39" s="3">
        <f t="shared" si="23"/>
        <v>3.4603499999999995E-2</v>
      </c>
      <c r="F39" s="3">
        <f t="shared" si="23"/>
        <v>4.5999999999999996</v>
      </c>
      <c r="G39" s="3">
        <f t="shared" si="23"/>
        <v>0.16310220000000003</v>
      </c>
      <c r="H39" s="3">
        <f t="shared" si="23"/>
        <v>0.85000000000000009</v>
      </c>
      <c r="I39" s="3">
        <f t="shared" si="23"/>
        <v>4.0828050000000005E-2</v>
      </c>
      <c r="J39" s="3">
        <f t="shared" si="23"/>
        <v>0.9</v>
      </c>
      <c r="K39" s="3">
        <f t="shared" si="23"/>
        <v>0.375</v>
      </c>
      <c r="L39" s="3">
        <f t="shared" si="23"/>
        <v>7.5150000000000008E-3</v>
      </c>
      <c r="M39" s="3">
        <f t="shared" si="23"/>
        <v>0.52500000000000002</v>
      </c>
      <c r="N39" s="3">
        <f t="shared" si="23"/>
        <v>6.3840000000000008E-3</v>
      </c>
      <c r="O39" s="3">
        <f t="shared" si="23"/>
        <v>5.125</v>
      </c>
      <c r="P39" s="3">
        <f t="shared" si="23"/>
        <v>0.11787500000000001</v>
      </c>
      <c r="Q39" s="3"/>
      <c r="R39" s="3"/>
      <c r="S39" s="24">
        <f t="shared" si="23"/>
        <v>0.37030775000000005</v>
      </c>
      <c r="U39" s="25">
        <f t="shared" si="24"/>
        <v>2.2651749999999998E-2</v>
      </c>
      <c r="V39" s="25">
        <f t="shared" si="24"/>
        <v>1.7032683333333334</v>
      </c>
    </row>
    <row r="40" spans="1:24" s="10" customFormat="1" x14ac:dyDescent="0.4">
      <c r="B40" s="6" t="s">
        <v>134</v>
      </c>
      <c r="C40" s="4" t="s">
        <v>92</v>
      </c>
      <c r="D40" s="3">
        <f t="shared" si="23"/>
        <v>0.625</v>
      </c>
      <c r="E40" s="3">
        <f t="shared" si="23"/>
        <v>3.76125E-2</v>
      </c>
      <c r="F40" s="3">
        <f t="shared" si="23"/>
        <v>3.45</v>
      </c>
      <c r="G40" s="3">
        <f t="shared" si="23"/>
        <v>0.12232665000000001</v>
      </c>
      <c r="H40" s="3">
        <f t="shared" si="23"/>
        <v>0.64999999999999991</v>
      </c>
      <c r="I40" s="3">
        <f t="shared" si="23"/>
        <v>3.1221449999999998E-2</v>
      </c>
      <c r="J40" s="3">
        <f t="shared" si="23"/>
        <v>0.7</v>
      </c>
      <c r="K40" s="3">
        <f t="shared" si="23"/>
        <v>0.22500000000000001</v>
      </c>
      <c r="L40" s="3">
        <f t="shared" si="23"/>
        <v>4.509E-3</v>
      </c>
      <c r="M40" s="3">
        <f t="shared" si="23"/>
        <v>0.47499999999999998</v>
      </c>
      <c r="N40" s="3">
        <f t="shared" si="23"/>
        <v>5.7760000000000008E-3</v>
      </c>
      <c r="O40" s="3">
        <f t="shared" si="23"/>
        <v>4.0250000000000004</v>
      </c>
      <c r="P40" s="3">
        <f t="shared" si="23"/>
        <v>9.2575000000000005E-2</v>
      </c>
      <c r="Q40" s="3"/>
      <c r="R40" s="3"/>
      <c r="S40" s="24">
        <f t="shared" si="23"/>
        <v>0.29402060000000002</v>
      </c>
      <c r="U40" s="25">
        <f t="shared" si="24"/>
        <v>2.1782574999999998E-2</v>
      </c>
      <c r="V40" s="25">
        <f t="shared" si="24"/>
        <v>2.0417966666666665</v>
      </c>
    </row>
    <row r="41" spans="1:24" s="10" customFormat="1" x14ac:dyDescent="0.4">
      <c r="B41" s="6" t="s">
        <v>134</v>
      </c>
      <c r="C41" s="4" t="s">
        <v>93</v>
      </c>
      <c r="D41" s="3">
        <f t="shared" si="23"/>
        <v>0.57499999999999996</v>
      </c>
      <c r="E41" s="3">
        <f t="shared" si="23"/>
        <v>3.4603499999999995E-2</v>
      </c>
      <c r="F41" s="3">
        <f t="shared" si="23"/>
        <v>4.0250000000000004</v>
      </c>
      <c r="G41" s="3">
        <f t="shared" si="23"/>
        <v>0.14271442500000001</v>
      </c>
      <c r="H41" s="3">
        <f t="shared" si="23"/>
        <v>0.85000000000000009</v>
      </c>
      <c r="I41" s="3">
        <f t="shared" si="23"/>
        <v>4.0828050000000005E-2</v>
      </c>
      <c r="J41" s="3">
        <f t="shared" si="23"/>
        <v>0.85000000000000009</v>
      </c>
      <c r="K41" s="3">
        <f t="shared" si="23"/>
        <v>0.22500000000000001</v>
      </c>
      <c r="L41" s="3">
        <f t="shared" si="23"/>
        <v>4.509E-3</v>
      </c>
      <c r="M41" s="3">
        <f t="shared" si="23"/>
        <v>0.625</v>
      </c>
      <c r="N41" s="3">
        <f t="shared" si="23"/>
        <v>7.6000000000000009E-3</v>
      </c>
      <c r="O41" s="3">
        <f t="shared" si="23"/>
        <v>4.5999999999999996</v>
      </c>
      <c r="P41" s="3">
        <f t="shared" si="23"/>
        <v>0.10580000000000001</v>
      </c>
      <c r="Q41" s="3"/>
      <c r="R41" s="3"/>
      <c r="S41" s="24">
        <f t="shared" si="23"/>
        <v>0.33605497500000003</v>
      </c>
      <c r="U41" s="25">
        <f t="shared" si="24"/>
        <v>2.2080225000000002E-2</v>
      </c>
      <c r="V41" s="25">
        <f t="shared" si="24"/>
        <v>1.7337916666666666</v>
      </c>
    </row>
    <row r="43" spans="1:24" x14ac:dyDescent="0.4">
      <c r="A43" s="4" t="s">
        <v>118</v>
      </c>
      <c r="B43" s="6" t="s">
        <v>135</v>
      </c>
      <c r="C43" s="4" t="s">
        <v>89</v>
      </c>
      <c r="D43" s="3">
        <v>0.7</v>
      </c>
      <c r="E43" s="3">
        <f>D43*0.06018</f>
        <v>4.2125999999999997E-2</v>
      </c>
      <c r="F43" s="3">
        <v>2.4</v>
      </c>
      <c r="G43" s="3">
        <f>F43*0.035457</f>
        <v>8.50968E-2</v>
      </c>
      <c r="H43" s="8">
        <f>(J43+R43)-Q43</f>
        <v>0.70000000000000018</v>
      </c>
      <c r="I43" s="8">
        <f>H43*0.048033</f>
        <v>3.362310000000001E-2</v>
      </c>
      <c r="J43" s="8">
        <v>0.7</v>
      </c>
      <c r="K43" s="8">
        <v>0.2</v>
      </c>
      <c r="L43" s="8">
        <f>K43*0.02004</f>
        <v>4.0080000000000003E-3</v>
      </c>
      <c r="M43" s="8">
        <f>J43-K43</f>
        <v>0.49999999999999994</v>
      </c>
      <c r="N43" s="8">
        <f>M43*0.01216</f>
        <v>6.0799999999999995E-3</v>
      </c>
      <c r="O43" s="8">
        <f>D43+F43+H43-J43</f>
        <v>3.0999999999999996</v>
      </c>
      <c r="P43" s="8">
        <f>O43*0.023</f>
        <v>7.1299999999999988E-2</v>
      </c>
      <c r="Q43" s="3">
        <v>5</v>
      </c>
      <c r="R43" s="3">
        <v>5</v>
      </c>
      <c r="S43" s="24">
        <f>E43+G43+I43+L43+N43+P43</f>
        <v>0.2422339</v>
      </c>
      <c r="U43" s="25">
        <v>2.3485250000000003E-2</v>
      </c>
      <c r="V43" s="26">
        <v>1.8546433333333334</v>
      </c>
      <c r="X43" s="3">
        <f>+U43/V43</f>
        <v>1.266294687388231E-2</v>
      </c>
    </row>
    <row r="44" spans="1:24" x14ac:dyDescent="0.4">
      <c r="A44" s="4"/>
      <c r="B44" s="6" t="s">
        <v>135</v>
      </c>
      <c r="C44" s="4" t="s">
        <v>113</v>
      </c>
      <c r="D44" s="3">
        <v>0.55000000000000004</v>
      </c>
      <c r="E44" s="3">
        <f>D44*0.06018</f>
        <v>3.3099000000000003E-2</v>
      </c>
      <c r="F44" s="3">
        <v>4.4000000000000004</v>
      </c>
      <c r="G44" s="3">
        <f>F44*0.035457</f>
        <v>0.15601080000000003</v>
      </c>
      <c r="H44" s="8">
        <f>(J44+R44)-Q44</f>
        <v>0.64999999999999947</v>
      </c>
      <c r="I44" s="8">
        <f>H44*0.048033</f>
        <v>3.1221449999999974E-2</v>
      </c>
      <c r="J44" s="8">
        <v>0.85</v>
      </c>
      <c r="K44" s="8">
        <v>0.2</v>
      </c>
      <c r="L44" s="8">
        <f>K44*0.02004</f>
        <v>4.0080000000000003E-3</v>
      </c>
      <c r="M44" s="8">
        <f>J44-K44</f>
        <v>0.64999999999999991</v>
      </c>
      <c r="N44" s="8">
        <f>M44*0.01216</f>
        <v>7.9039999999999996E-3</v>
      </c>
      <c r="O44" s="8">
        <f>D44+F44+H44-J44</f>
        <v>4.75</v>
      </c>
      <c r="P44" s="8">
        <f>O44*0.023</f>
        <v>0.10925</v>
      </c>
      <c r="Q44" s="3">
        <v>5.2</v>
      </c>
      <c r="R44" s="3">
        <v>5</v>
      </c>
      <c r="S44" s="24">
        <f>E44+G44+I44+L44+N44+P44</f>
        <v>0.34149325000000003</v>
      </c>
      <c r="X44" s="3"/>
    </row>
    <row r="45" spans="1:24" x14ac:dyDescent="0.4">
      <c r="A45" s="4"/>
      <c r="B45" s="6" t="s">
        <v>135</v>
      </c>
      <c r="C45" s="4" t="s">
        <v>114</v>
      </c>
      <c r="D45" s="3">
        <v>0.55000000000000004</v>
      </c>
      <c r="E45" s="3">
        <f>D45*0.06018</f>
        <v>3.3099000000000003E-2</v>
      </c>
      <c r="F45" s="3">
        <v>5.2</v>
      </c>
      <c r="G45" s="3">
        <f>F45*0.035457</f>
        <v>0.18437640000000002</v>
      </c>
      <c r="H45" s="8">
        <f>(J45+R45)-Q45</f>
        <v>1</v>
      </c>
      <c r="I45" s="8">
        <f>H45*0.048033</f>
        <v>4.8032999999999999E-2</v>
      </c>
      <c r="J45" s="8">
        <v>1</v>
      </c>
      <c r="K45" s="8">
        <v>0.25</v>
      </c>
      <c r="L45" s="8">
        <f>K45*0.02004</f>
        <v>5.0099999999999997E-3</v>
      </c>
      <c r="M45" s="8">
        <f>J45-K45</f>
        <v>0.75</v>
      </c>
      <c r="N45" s="8">
        <f>M45*0.01216</f>
        <v>9.1199999999999996E-3</v>
      </c>
      <c r="O45" s="8">
        <f>D45+F45+H45-J45</f>
        <v>5.75</v>
      </c>
      <c r="P45" s="8">
        <f>O45*0.023</f>
        <v>0.13225000000000001</v>
      </c>
      <c r="Q45" s="3">
        <v>5</v>
      </c>
      <c r="R45" s="3">
        <v>5</v>
      </c>
      <c r="S45" s="24">
        <f>E45+G45+I45+L45+N45+P45</f>
        <v>0.41188840000000004</v>
      </c>
      <c r="X45" s="3"/>
    </row>
    <row r="46" spans="1:24" x14ac:dyDescent="0.4">
      <c r="A46" s="4"/>
      <c r="B46" s="6" t="s">
        <v>135</v>
      </c>
      <c r="C46" s="4" t="s">
        <v>90</v>
      </c>
      <c r="D46" s="8">
        <v>0.55000000000000004</v>
      </c>
      <c r="E46" s="8">
        <v>3.3099000000000003E-2</v>
      </c>
      <c r="F46" s="8">
        <v>4.8</v>
      </c>
      <c r="G46" s="8">
        <v>0.17019360000000003</v>
      </c>
      <c r="H46" s="8">
        <v>0.82499999999999996</v>
      </c>
      <c r="I46" s="8">
        <v>3.9627224999999988E-2</v>
      </c>
      <c r="J46" s="8">
        <v>0.92500000000000004</v>
      </c>
      <c r="K46" s="8">
        <v>0.22500000000000001</v>
      </c>
      <c r="L46" s="8">
        <v>4.509E-3</v>
      </c>
      <c r="M46" s="8">
        <v>0.7</v>
      </c>
      <c r="N46" s="8">
        <v>8.5119999999999987E-3</v>
      </c>
      <c r="O46" s="8">
        <v>5.25</v>
      </c>
      <c r="P46" s="8">
        <v>0.12075</v>
      </c>
      <c r="Q46" s="8">
        <v>5.0999999999999996</v>
      </c>
      <c r="R46" s="8">
        <v>5</v>
      </c>
      <c r="S46" s="27">
        <v>0.37669082500000006</v>
      </c>
      <c r="U46" s="25">
        <v>2.7057349999999997E-2</v>
      </c>
      <c r="V46" s="26">
        <v>3.0080966666666669</v>
      </c>
      <c r="X46" s="3">
        <f t="shared" ref="X46:X62" si="25">+U46/V46</f>
        <v>8.9948405913373788E-3</v>
      </c>
    </row>
    <row r="47" spans="1:24" x14ac:dyDescent="0.4">
      <c r="A47" s="4"/>
      <c r="B47" s="6" t="s">
        <v>135</v>
      </c>
      <c r="C47" s="4" t="s">
        <v>91</v>
      </c>
      <c r="D47" s="3">
        <v>0.5</v>
      </c>
      <c r="E47" s="3">
        <f t="shared" ref="E47:E52" si="26">D47*0.06018</f>
        <v>3.0089999999999999E-2</v>
      </c>
      <c r="F47" s="3">
        <v>5.7</v>
      </c>
      <c r="G47" s="3">
        <f t="shared" ref="G47:G52" si="27">F47*0.035457</f>
        <v>0.20210490000000003</v>
      </c>
      <c r="H47" s="8">
        <f t="shared" ref="H47:H52" si="28">(J47+R47)-Q47</f>
        <v>0.84999999999999964</v>
      </c>
      <c r="I47" s="8">
        <f t="shared" ref="I47:I52" si="29">H47*0.048033</f>
        <v>4.0828049999999984E-2</v>
      </c>
      <c r="J47" s="8">
        <v>0.85</v>
      </c>
      <c r="K47" s="8">
        <v>0.2</v>
      </c>
      <c r="L47" s="8">
        <f t="shared" ref="L47:L52" si="30">K47*0.02004</f>
        <v>4.0080000000000003E-3</v>
      </c>
      <c r="M47" s="8">
        <f t="shared" ref="M47:M52" si="31">J47-K47</f>
        <v>0.64999999999999991</v>
      </c>
      <c r="N47" s="8">
        <f t="shared" ref="N47:N52" si="32">M47*0.01216</f>
        <v>7.9039999999999996E-3</v>
      </c>
      <c r="O47" s="8">
        <f t="shared" ref="O47:O52" si="33">D47+F47+H47-J47</f>
        <v>6.2</v>
      </c>
      <c r="P47" s="8">
        <f t="shared" ref="P47:P52" si="34">O47*0.023</f>
        <v>0.1426</v>
      </c>
      <c r="Q47" s="3">
        <v>5</v>
      </c>
      <c r="R47" s="3">
        <v>5</v>
      </c>
      <c r="S47" s="24">
        <f t="shared" ref="S47:S52" si="35">E47+G47+I47+L47+N47+P47</f>
        <v>0.42753495000000008</v>
      </c>
      <c r="U47" s="25">
        <v>2.3270899999999997E-2</v>
      </c>
      <c r="V47" s="26">
        <v>2.4701533333333336</v>
      </c>
      <c r="X47" s="3">
        <f t="shared" si="25"/>
        <v>9.4208321750606557E-3</v>
      </c>
    </row>
    <row r="48" spans="1:24" x14ac:dyDescent="0.4">
      <c r="A48" s="4"/>
      <c r="B48" s="6" t="s">
        <v>135</v>
      </c>
      <c r="C48" s="4" t="s">
        <v>92</v>
      </c>
      <c r="D48" s="3">
        <v>0.5</v>
      </c>
      <c r="E48" s="3">
        <f t="shared" si="26"/>
        <v>3.0089999999999999E-2</v>
      </c>
      <c r="F48" s="3">
        <v>6.1</v>
      </c>
      <c r="G48" s="3">
        <f t="shared" si="27"/>
        <v>0.2162877</v>
      </c>
      <c r="H48" s="8">
        <f t="shared" si="28"/>
        <v>0.90000000000000036</v>
      </c>
      <c r="I48" s="8">
        <f t="shared" si="29"/>
        <v>4.3229700000000017E-2</v>
      </c>
      <c r="J48" s="8">
        <v>1</v>
      </c>
      <c r="K48" s="8">
        <v>0.25</v>
      </c>
      <c r="L48" s="8">
        <f t="shared" si="30"/>
        <v>5.0099999999999997E-3</v>
      </c>
      <c r="M48" s="8">
        <f t="shared" si="31"/>
        <v>0.75</v>
      </c>
      <c r="N48" s="8">
        <f t="shared" si="32"/>
        <v>9.1199999999999996E-3</v>
      </c>
      <c r="O48" s="8">
        <f t="shared" si="33"/>
        <v>6.5</v>
      </c>
      <c r="P48" s="8">
        <f t="shared" si="34"/>
        <v>0.14949999999999999</v>
      </c>
      <c r="Q48" s="3">
        <v>5.0999999999999996</v>
      </c>
      <c r="R48" s="3">
        <v>5</v>
      </c>
      <c r="S48" s="24">
        <f t="shared" si="35"/>
        <v>0.45323740000000001</v>
      </c>
      <c r="U48" s="25">
        <v>2.4437850000000001E-2</v>
      </c>
      <c r="V48" s="26">
        <v>2.9205233333333336</v>
      </c>
      <c r="X48" s="3">
        <f t="shared" si="25"/>
        <v>8.3676270348807345E-3</v>
      </c>
    </row>
    <row r="49" spans="1:24" x14ac:dyDescent="0.4">
      <c r="A49" s="4"/>
      <c r="B49" s="6" t="s">
        <v>135</v>
      </c>
      <c r="C49" s="4" t="s">
        <v>93</v>
      </c>
      <c r="D49" s="3">
        <v>0.55000000000000004</v>
      </c>
      <c r="E49" s="3">
        <f t="shared" si="26"/>
        <v>3.3099000000000003E-2</v>
      </c>
      <c r="F49" s="3">
        <v>5.8</v>
      </c>
      <c r="G49" s="3">
        <f t="shared" si="27"/>
        <v>0.20565060000000002</v>
      </c>
      <c r="H49" s="8">
        <f t="shared" si="28"/>
        <v>0.59999999999999964</v>
      </c>
      <c r="I49" s="8">
        <f t="shared" si="29"/>
        <v>2.8819799999999982E-2</v>
      </c>
      <c r="J49" s="8">
        <v>0.75</v>
      </c>
      <c r="K49" s="8">
        <v>0.2</v>
      </c>
      <c r="L49" s="8">
        <f t="shared" si="30"/>
        <v>4.0080000000000003E-3</v>
      </c>
      <c r="M49" s="8">
        <f t="shared" si="31"/>
        <v>0.55000000000000004</v>
      </c>
      <c r="N49" s="8">
        <f t="shared" si="32"/>
        <v>6.6880000000000012E-3</v>
      </c>
      <c r="O49" s="8">
        <f t="shared" si="33"/>
        <v>6.1999999999999993</v>
      </c>
      <c r="P49" s="8">
        <f t="shared" si="34"/>
        <v>0.14259999999999998</v>
      </c>
      <c r="Q49" s="3">
        <v>5.15</v>
      </c>
      <c r="R49" s="3">
        <v>5</v>
      </c>
      <c r="S49" s="24">
        <f t="shared" si="35"/>
        <v>0.42086540000000006</v>
      </c>
      <c r="U49" s="25">
        <v>2.7414499999999998E-2</v>
      </c>
      <c r="V49" s="26">
        <v>2.2249499999999998</v>
      </c>
      <c r="X49" s="3">
        <f t="shared" si="25"/>
        <v>1.2321400480909683E-2</v>
      </c>
    </row>
    <row r="50" spans="1:24" x14ac:dyDescent="0.4">
      <c r="A50" s="4" t="s">
        <v>119</v>
      </c>
      <c r="B50" s="6" t="s">
        <v>135</v>
      </c>
      <c r="C50" s="4" t="s">
        <v>89</v>
      </c>
      <c r="D50" s="3">
        <v>0.45</v>
      </c>
      <c r="E50" s="3">
        <f t="shared" si="26"/>
        <v>2.7081000000000001E-2</v>
      </c>
      <c r="F50" s="3">
        <v>4.2</v>
      </c>
      <c r="G50" s="3">
        <f t="shared" si="27"/>
        <v>0.14891940000000001</v>
      </c>
      <c r="H50" s="8">
        <f t="shared" si="28"/>
        <v>1.1000000000000005</v>
      </c>
      <c r="I50" s="8">
        <f t="shared" si="29"/>
        <v>5.2836300000000024E-2</v>
      </c>
      <c r="J50" s="8">
        <v>0.9</v>
      </c>
      <c r="K50" s="8">
        <v>0.25</v>
      </c>
      <c r="L50" s="8">
        <f t="shared" si="30"/>
        <v>5.0099999999999997E-3</v>
      </c>
      <c r="M50" s="8">
        <f t="shared" si="31"/>
        <v>0.65</v>
      </c>
      <c r="N50" s="8">
        <f t="shared" si="32"/>
        <v>7.9040000000000013E-3</v>
      </c>
      <c r="O50" s="8">
        <f t="shared" si="33"/>
        <v>4.8500000000000005</v>
      </c>
      <c r="P50" s="8">
        <f t="shared" si="34"/>
        <v>0.11155000000000001</v>
      </c>
      <c r="Q50" s="3">
        <v>4.8</v>
      </c>
      <c r="R50" s="3">
        <v>5</v>
      </c>
      <c r="S50" s="24">
        <f t="shared" si="35"/>
        <v>0.35330070000000002</v>
      </c>
      <c r="U50" s="25">
        <f>AVERAGE(U57,U43)</f>
        <v>3.0498450000000003E-2</v>
      </c>
      <c r="V50" s="25">
        <f>AVERAGE(V57,V43)</f>
        <v>1.9922583333333335</v>
      </c>
      <c r="X50" s="3">
        <f t="shared" si="25"/>
        <v>1.5308481580785625E-2</v>
      </c>
    </row>
    <row r="51" spans="1:24" x14ac:dyDescent="0.4">
      <c r="A51" s="4"/>
      <c r="B51" s="6" t="s">
        <v>135</v>
      </c>
      <c r="C51" s="4" t="s">
        <v>113</v>
      </c>
      <c r="D51" s="3">
        <v>0.5</v>
      </c>
      <c r="E51" s="3">
        <f t="shared" si="26"/>
        <v>3.0089999999999999E-2</v>
      </c>
      <c r="F51" s="3">
        <v>5.9</v>
      </c>
      <c r="G51" s="3">
        <f t="shared" si="27"/>
        <v>0.20919630000000003</v>
      </c>
      <c r="H51" s="8">
        <f t="shared" si="28"/>
        <v>0.70000000000000018</v>
      </c>
      <c r="I51" s="8">
        <f t="shared" si="29"/>
        <v>3.362310000000001E-2</v>
      </c>
      <c r="J51" s="8">
        <v>0.75</v>
      </c>
      <c r="K51" s="8">
        <v>0.25</v>
      </c>
      <c r="L51" s="8">
        <f t="shared" si="30"/>
        <v>5.0099999999999997E-3</v>
      </c>
      <c r="M51" s="8">
        <f t="shared" si="31"/>
        <v>0.5</v>
      </c>
      <c r="N51" s="8">
        <f t="shared" si="32"/>
        <v>6.0800000000000003E-3</v>
      </c>
      <c r="O51" s="8">
        <f t="shared" si="33"/>
        <v>6.3500000000000005</v>
      </c>
      <c r="P51" s="8">
        <f t="shared" si="34"/>
        <v>0.14605000000000001</v>
      </c>
      <c r="Q51" s="3">
        <v>5.05</v>
      </c>
      <c r="R51" s="3">
        <v>5</v>
      </c>
      <c r="S51" s="24">
        <f t="shared" si="35"/>
        <v>0.43004940000000003</v>
      </c>
      <c r="X51" s="3"/>
    </row>
    <row r="52" spans="1:24" x14ac:dyDescent="0.4">
      <c r="A52" s="4"/>
      <c r="B52" s="6" t="s">
        <v>135</v>
      </c>
      <c r="C52" s="4" t="s">
        <v>114</v>
      </c>
      <c r="D52" s="3">
        <v>0.55000000000000004</v>
      </c>
      <c r="E52" s="3">
        <f t="shared" si="26"/>
        <v>3.3099000000000003E-2</v>
      </c>
      <c r="F52" s="3">
        <v>5.8</v>
      </c>
      <c r="G52" s="3">
        <f t="shared" si="27"/>
        <v>0.20565060000000002</v>
      </c>
      <c r="H52" s="8">
        <f t="shared" si="28"/>
        <v>0.79999999999999982</v>
      </c>
      <c r="I52" s="8">
        <f t="shared" si="29"/>
        <v>3.8426399999999993E-2</v>
      </c>
      <c r="J52" s="8">
        <v>0.8</v>
      </c>
      <c r="K52" s="8">
        <v>0.25</v>
      </c>
      <c r="L52" s="8">
        <f t="shared" si="30"/>
        <v>5.0099999999999997E-3</v>
      </c>
      <c r="M52" s="8">
        <f t="shared" si="31"/>
        <v>0.55000000000000004</v>
      </c>
      <c r="N52" s="8">
        <f t="shared" si="32"/>
        <v>6.6880000000000012E-3</v>
      </c>
      <c r="O52" s="8">
        <f t="shared" si="33"/>
        <v>6.35</v>
      </c>
      <c r="P52" s="8">
        <f t="shared" si="34"/>
        <v>0.14604999999999999</v>
      </c>
      <c r="Q52" s="3">
        <v>5</v>
      </c>
      <c r="R52" s="3">
        <v>5</v>
      </c>
      <c r="S52" s="24">
        <f t="shared" si="35"/>
        <v>0.43492399999999998</v>
      </c>
      <c r="X52" s="3"/>
    </row>
    <row r="53" spans="1:24" x14ac:dyDescent="0.4">
      <c r="A53" s="4"/>
      <c r="B53" s="6" t="s">
        <v>135</v>
      </c>
      <c r="C53" s="4" t="s">
        <v>90</v>
      </c>
      <c r="D53" s="8">
        <v>0.52500000000000002</v>
      </c>
      <c r="E53" s="8">
        <v>3.1594499999999998E-2</v>
      </c>
      <c r="F53" s="8">
        <v>5.85</v>
      </c>
      <c r="G53" s="8">
        <v>0.20742345000000001</v>
      </c>
      <c r="H53" s="8">
        <v>0.75</v>
      </c>
      <c r="I53" s="8">
        <v>3.6024750000000001E-2</v>
      </c>
      <c r="J53" s="8">
        <v>0.77500000000000002</v>
      </c>
      <c r="K53" s="8">
        <v>0.25</v>
      </c>
      <c r="L53" s="8">
        <v>5.0099999999999997E-3</v>
      </c>
      <c r="M53" s="8">
        <v>0.52500000000000002</v>
      </c>
      <c r="N53" s="8">
        <v>6.3840000000000008E-3</v>
      </c>
      <c r="O53" s="8">
        <v>6.35</v>
      </c>
      <c r="P53" s="8">
        <v>0.14605000000000001</v>
      </c>
      <c r="Q53" s="8">
        <v>5.0250000000000004</v>
      </c>
      <c r="R53" s="8">
        <v>5</v>
      </c>
      <c r="S53" s="27">
        <v>0.4324867</v>
      </c>
      <c r="U53" s="25">
        <v>3.1153399999999998E-2</v>
      </c>
      <c r="V53" s="26">
        <v>2.8709833333333337</v>
      </c>
      <c r="X53" s="3">
        <f t="shared" si="25"/>
        <v>1.0851125340330546E-2</v>
      </c>
    </row>
    <row r="54" spans="1:24" x14ac:dyDescent="0.4">
      <c r="A54" s="4"/>
      <c r="B54" s="6" t="s">
        <v>135</v>
      </c>
      <c r="C54" s="4" t="s">
        <v>91</v>
      </c>
      <c r="D54" s="3">
        <v>0.5</v>
      </c>
      <c r="E54" s="3">
        <f t="shared" ref="E54:E59" si="36">D54*0.06018</f>
        <v>3.0089999999999999E-2</v>
      </c>
      <c r="F54" s="3">
        <v>6</v>
      </c>
      <c r="G54" s="3">
        <f t="shared" ref="G54:G59" si="37">F54*0.035457</f>
        <v>0.21274200000000001</v>
      </c>
      <c r="H54" s="8">
        <f t="shared" ref="H54:H59" si="38">(J54+R54)-Q54</f>
        <v>0.89999999999999947</v>
      </c>
      <c r="I54" s="8">
        <f t="shared" ref="I54:I59" si="39">H54*0.048033</f>
        <v>4.3229699999999975E-2</v>
      </c>
      <c r="J54" s="8">
        <v>0.8</v>
      </c>
      <c r="K54" s="8">
        <v>0.25</v>
      </c>
      <c r="L54" s="8">
        <f t="shared" ref="L54:L59" si="40">K54*0.02004</f>
        <v>5.0099999999999997E-3</v>
      </c>
      <c r="M54" s="8">
        <f t="shared" ref="M54:M59" si="41">J54-K54</f>
        <v>0.55000000000000004</v>
      </c>
      <c r="N54" s="8">
        <f t="shared" ref="N54:N59" si="42">M54*0.01216</f>
        <v>6.6880000000000012E-3</v>
      </c>
      <c r="O54" s="8">
        <f t="shared" ref="O54:O59" si="43">D54+F54+H54-J54</f>
        <v>6.6</v>
      </c>
      <c r="P54" s="8">
        <f t="shared" ref="P54:P59" si="44">O54*0.023</f>
        <v>0.15179999999999999</v>
      </c>
      <c r="Q54" s="3">
        <v>4.9000000000000004</v>
      </c>
      <c r="R54" s="3">
        <v>5</v>
      </c>
      <c r="S54" s="24">
        <f t="shared" ref="S54:S59" si="45">E54+G54+I54+L54+N54+P54</f>
        <v>0.44955970000000001</v>
      </c>
      <c r="U54" s="25">
        <v>3.6011400000000006E-2</v>
      </c>
      <c r="V54" s="26">
        <v>2.7183566666666668</v>
      </c>
      <c r="X54" s="3">
        <f t="shared" si="25"/>
        <v>1.3247488985379649E-2</v>
      </c>
    </row>
    <row r="55" spans="1:24" x14ac:dyDescent="0.4">
      <c r="A55" s="4"/>
      <c r="B55" s="6" t="s">
        <v>135</v>
      </c>
      <c r="C55" s="4" t="s">
        <v>92</v>
      </c>
      <c r="D55" s="3">
        <v>0.5</v>
      </c>
      <c r="E55" s="3">
        <f t="shared" si="36"/>
        <v>3.0089999999999999E-2</v>
      </c>
      <c r="F55" s="3">
        <v>6.3</v>
      </c>
      <c r="G55" s="3">
        <f t="shared" si="37"/>
        <v>0.2233791</v>
      </c>
      <c r="H55" s="8">
        <f t="shared" si="38"/>
        <v>1</v>
      </c>
      <c r="I55" s="8">
        <f t="shared" si="39"/>
        <v>4.8032999999999999E-2</v>
      </c>
      <c r="J55" s="8">
        <v>1</v>
      </c>
      <c r="K55" s="8">
        <v>0.25</v>
      </c>
      <c r="L55" s="8">
        <f t="shared" si="40"/>
        <v>5.0099999999999997E-3</v>
      </c>
      <c r="M55" s="8">
        <f t="shared" si="41"/>
        <v>0.75</v>
      </c>
      <c r="N55" s="8">
        <f t="shared" si="42"/>
        <v>9.1199999999999996E-3</v>
      </c>
      <c r="O55" s="8">
        <f t="shared" si="43"/>
        <v>6.8</v>
      </c>
      <c r="P55" s="8">
        <f t="shared" si="44"/>
        <v>0.15639999999999998</v>
      </c>
      <c r="Q55" s="3">
        <v>5</v>
      </c>
      <c r="R55" s="3">
        <v>5</v>
      </c>
      <c r="S55" s="24">
        <f t="shared" si="45"/>
        <v>0.47203210000000001</v>
      </c>
      <c r="U55" s="25">
        <v>3.5130249999999995E-2</v>
      </c>
      <c r="V55" s="26">
        <v>3.0281133333333337</v>
      </c>
      <c r="X55" s="3">
        <f t="shared" si="25"/>
        <v>1.1601365646816386E-2</v>
      </c>
    </row>
    <row r="56" spans="1:24" x14ac:dyDescent="0.4">
      <c r="A56" s="4"/>
      <c r="B56" s="6" t="s">
        <v>135</v>
      </c>
      <c r="C56" s="4" t="s">
        <v>93</v>
      </c>
      <c r="D56" s="3">
        <v>0.55000000000000004</v>
      </c>
      <c r="E56" s="3">
        <f t="shared" si="36"/>
        <v>3.3099000000000003E-2</v>
      </c>
      <c r="F56" s="3">
        <v>6.4</v>
      </c>
      <c r="G56" s="3">
        <f t="shared" si="37"/>
        <v>0.22692480000000004</v>
      </c>
      <c r="H56" s="8">
        <f t="shared" si="38"/>
        <v>0.85000000000000053</v>
      </c>
      <c r="I56" s="8">
        <f t="shared" si="39"/>
        <v>4.0828050000000025E-2</v>
      </c>
      <c r="J56" s="8">
        <v>0.9</v>
      </c>
      <c r="K56" s="8">
        <v>0.35</v>
      </c>
      <c r="L56" s="8">
        <f t="shared" si="40"/>
        <v>7.0139999999999994E-3</v>
      </c>
      <c r="M56" s="8">
        <f t="shared" si="41"/>
        <v>0.55000000000000004</v>
      </c>
      <c r="N56" s="8">
        <f t="shared" si="42"/>
        <v>6.6880000000000012E-3</v>
      </c>
      <c r="O56" s="8">
        <f t="shared" si="43"/>
        <v>6.9</v>
      </c>
      <c r="P56" s="8">
        <f t="shared" si="44"/>
        <v>0.15870000000000001</v>
      </c>
      <c r="Q56" s="3">
        <v>5.05</v>
      </c>
      <c r="R56" s="3">
        <v>5</v>
      </c>
      <c r="S56" s="24">
        <f t="shared" si="45"/>
        <v>0.47325385000000009</v>
      </c>
      <c r="U56" s="25">
        <v>3.15106E-2</v>
      </c>
      <c r="V56" s="26">
        <v>2.8069299999999999</v>
      </c>
      <c r="X56" s="3">
        <f t="shared" si="25"/>
        <v>1.1226001360917445E-2</v>
      </c>
    </row>
    <row r="57" spans="1:24" x14ac:dyDescent="0.4">
      <c r="A57" s="4" t="s">
        <v>120</v>
      </c>
      <c r="B57" s="6" t="s">
        <v>135</v>
      </c>
      <c r="C57" s="4" t="s">
        <v>89</v>
      </c>
      <c r="D57" s="3">
        <v>0.3</v>
      </c>
      <c r="E57" s="3">
        <f t="shared" si="36"/>
        <v>1.8053999999999997E-2</v>
      </c>
      <c r="F57" s="3">
        <v>4.5</v>
      </c>
      <c r="G57" s="3">
        <f t="shared" si="37"/>
        <v>0.15955650000000002</v>
      </c>
      <c r="H57" s="3">
        <f t="shared" si="38"/>
        <v>0.84999999999999964</v>
      </c>
      <c r="I57" s="8">
        <f t="shared" si="39"/>
        <v>4.0828049999999984E-2</v>
      </c>
      <c r="J57" s="8">
        <v>1</v>
      </c>
      <c r="K57" s="8">
        <v>0.3</v>
      </c>
      <c r="L57" s="8">
        <f t="shared" si="40"/>
        <v>6.0119999999999991E-3</v>
      </c>
      <c r="M57" s="8">
        <f t="shared" si="41"/>
        <v>0.7</v>
      </c>
      <c r="N57" s="8">
        <f t="shared" si="42"/>
        <v>8.5120000000000005E-3</v>
      </c>
      <c r="O57" s="3">
        <f t="shared" si="43"/>
        <v>4.6499999999999995</v>
      </c>
      <c r="P57" s="3">
        <f t="shared" si="44"/>
        <v>0.10694999999999999</v>
      </c>
      <c r="Q57" s="3">
        <v>5.15</v>
      </c>
      <c r="R57" s="3">
        <v>5</v>
      </c>
      <c r="S57" s="24">
        <f t="shared" si="45"/>
        <v>0.33991254999999998</v>
      </c>
      <c r="U57" s="25">
        <v>3.7511650000000001E-2</v>
      </c>
      <c r="V57" s="26">
        <v>2.1298733333333337</v>
      </c>
      <c r="X57" s="3">
        <f t="shared" si="25"/>
        <v>1.7612150644326263E-2</v>
      </c>
    </row>
    <row r="58" spans="1:24" x14ac:dyDescent="0.4">
      <c r="A58" s="4"/>
      <c r="B58" s="6" t="s">
        <v>135</v>
      </c>
      <c r="C58" s="4" t="s">
        <v>113</v>
      </c>
      <c r="D58" s="3">
        <v>0.45</v>
      </c>
      <c r="E58" s="3">
        <f t="shared" si="36"/>
        <v>2.7081000000000001E-2</v>
      </c>
      <c r="F58" s="3">
        <v>5.8</v>
      </c>
      <c r="G58" s="3">
        <f t="shared" si="37"/>
        <v>0.20565060000000002</v>
      </c>
      <c r="H58" s="3">
        <f t="shared" si="38"/>
        <v>0.90000000000000036</v>
      </c>
      <c r="I58" s="8">
        <f t="shared" si="39"/>
        <v>4.3229700000000017E-2</v>
      </c>
      <c r="J58" s="3">
        <v>1.1499999999999999</v>
      </c>
      <c r="K58" s="3">
        <v>0.3</v>
      </c>
      <c r="L58" s="3">
        <f t="shared" si="40"/>
        <v>6.0119999999999991E-3</v>
      </c>
      <c r="M58" s="3">
        <f t="shared" si="41"/>
        <v>0.84999999999999987</v>
      </c>
      <c r="N58" s="3">
        <f t="shared" si="42"/>
        <v>1.0336E-2</v>
      </c>
      <c r="O58" s="3">
        <f t="shared" si="43"/>
        <v>6</v>
      </c>
      <c r="P58" s="3">
        <f t="shared" si="44"/>
        <v>0.13800000000000001</v>
      </c>
      <c r="Q58" s="3">
        <v>5.25</v>
      </c>
      <c r="R58" s="3">
        <v>5</v>
      </c>
      <c r="S58" s="24">
        <f t="shared" si="45"/>
        <v>0.43030930000000006</v>
      </c>
      <c r="X58" s="3"/>
    </row>
    <row r="59" spans="1:24" x14ac:dyDescent="0.4">
      <c r="A59" s="4"/>
      <c r="B59" s="6" t="s">
        <v>135</v>
      </c>
      <c r="C59" s="4" t="s">
        <v>114</v>
      </c>
      <c r="D59" s="3">
        <v>0.35</v>
      </c>
      <c r="E59" s="3">
        <f t="shared" si="36"/>
        <v>2.1062999999999998E-2</v>
      </c>
      <c r="F59" s="3">
        <v>6</v>
      </c>
      <c r="G59" s="3">
        <f t="shared" si="37"/>
        <v>0.21274200000000001</v>
      </c>
      <c r="H59" s="3">
        <f t="shared" si="38"/>
        <v>0.60000000000000053</v>
      </c>
      <c r="I59" s="8">
        <f t="shared" si="39"/>
        <v>2.8819800000000024E-2</v>
      </c>
      <c r="J59" s="3">
        <v>0.95</v>
      </c>
      <c r="K59" s="3">
        <v>0.25</v>
      </c>
      <c r="L59" s="3">
        <f t="shared" si="40"/>
        <v>5.0099999999999997E-3</v>
      </c>
      <c r="M59" s="3">
        <f t="shared" si="41"/>
        <v>0.7</v>
      </c>
      <c r="N59" s="3">
        <f t="shared" si="42"/>
        <v>8.5120000000000005E-3</v>
      </c>
      <c r="O59" s="3">
        <f t="shared" si="43"/>
        <v>6</v>
      </c>
      <c r="P59" s="3">
        <f t="shared" si="44"/>
        <v>0.13800000000000001</v>
      </c>
      <c r="Q59" s="3">
        <v>5.35</v>
      </c>
      <c r="R59" s="3">
        <v>5</v>
      </c>
      <c r="S59" s="24">
        <f t="shared" si="45"/>
        <v>0.41414680000000009</v>
      </c>
      <c r="X59" s="3"/>
    </row>
    <row r="60" spans="1:24" x14ac:dyDescent="0.4">
      <c r="A60" s="4"/>
      <c r="B60" s="6" t="s">
        <v>135</v>
      </c>
      <c r="C60" s="4" t="s">
        <v>90</v>
      </c>
      <c r="D60" s="8">
        <v>0.4</v>
      </c>
      <c r="E60" s="8">
        <v>2.4072E-2</v>
      </c>
      <c r="F60" s="8">
        <v>5.9</v>
      </c>
      <c r="G60" s="8">
        <v>0.2091963</v>
      </c>
      <c r="H60" s="8">
        <v>0.75</v>
      </c>
      <c r="I60" s="8">
        <v>3.6024750000000022E-2</v>
      </c>
      <c r="J60" s="8">
        <v>1.05</v>
      </c>
      <c r="K60" s="8">
        <v>0.27500000000000002</v>
      </c>
      <c r="L60" s="8">
        <v>5.5109999999999994E-3</v>
      </c>
      <c r="M60" s="8">
        <v>0.77500000000000002</v>
      </c>
      <c r="N60" s="8">
        <v>9.4240000000000001E-3</v>
      </c>
      <c r="O60" s="8">
        <v>6</v>
      </c>
      <c r="P60" s="8">
        <v>0.13800000000000001</v>
      </c>
      <c r="Q60" s="8">
        <v>5.3</v>
      </c>
      <c r="R60" s="8">
        <v>5</v>
      </c>
      <c r="S60" s="27">
        <v>0.42222805000000008</v>
      </c>
      <c r="U60" s="25">
        <v>2.8343300000000002E-2</v>
      </c>
      <c r="V60" s="26">
        <v>2.0513066666666666</v>
      </c>
      <c r="X60" s="3">
        <f t="shared" si="25"/>
        <v>1.3817192943684676E-2</v>
      </c>
    </row>
    <row r="61" spans="1:24" x14ac:dyDescent="0.4">
      <c r="A61" s="4"/>
      <c r="B61" s="6" t="s">
        <v>135</v>
      </c>
      <c r="C61" s="4" t="s">
        <v>91</v>
      </c>
      <c r="D61" s="3">
        <v>0.35</v>
      </c>
      <c r="E61" s="3">
        <f>D61*0.06018</f>
        <v>2.1062999999999998E-2</v>
      </c>
      <c r="F61" s="3">
        <v>6.6</v>
      </c>
      <c r="G61" s="3">
        <f>F61*0.035457</f>
        <v>0.23401620000000001</v>
      </c>
      <c r="H61" s="3">
        <f>(J61+R61)-Q61</f>
        <v>0.59999999999999964</v>
      </c>
      <c r="I61" s="8">
        <f>H61*0.048033</f>
        <v>2.8819799999999982E-2</v>
      </c>
      <c r="J61" s="3">
        <v>1.05</v>
      </c>
      <c r="K61" s="3">
        <v>0.3</v>
      </c>
      <c r="L61" s="3">
        <f>K61*0.02004</f>
        <v>6.0119999999999991E-3</v>
      </c>
      <c r="M61" s="3">
        <f>J61-K61</f>
        <v>0.75</v>
      </c>
      <c r="N61" s="3">
        <f>M61*0.01216</f>
        <v>9.1199999999999996E-3</v>
      </c>
      <c r="O61" s="3">
        <f>D61+F61+H61-J61</f>
        <v>6.4999999999999991</v>
      </c>
      <c r="P61" s="3">
        <f>O61*0.023</f>
        <v>0.14949999999999997</v>
      </c>
      <c r="Q61" s="3">
        <v>5.45</v>
      </c>
      <c r="R61" s="3">
        <v>5</v>
      </c>
      <c r="S61" s="24">
        <f>E61+G61+I61+L61+N61+P61</f>
        <v>0.44853100000000001</v>
      </c>
      <c r="U61" s="25">
        <v>4.5084499999999993E-2</v>
      </c>
      <c r="V61" s="26">
        <v>3.5355300000000001</v>
      </c>
      <c r="X61" s="3">
        <f t="shared" si="25"/>
        <v>1.2751836358339482E-2</v>
      </c>
    </row>
    <row r="62" spans="1:24" x14ac:dyDescent="0.4">
      <c r="A62" s="4"/>
      <c r="B62" s="6" t="s">
        <v>135</v>
      </c>
      <c r="C62" s="4" t="s">
        <v>92</v>
      </c>
      <c r="D62" s="3">
        <v>0.35</v>
      </c>
      <c r="E62" s="3">
        <f>D62*0.06018</f>
        <v>2.1062999999999998E-2</v>
      </c>
      <c r="F62" s="3">
        <v>6.9</v>
      </c>
      <c r="G62" s="3">
        <f>F62*0.035457</f>
        <v>0.24465330000000002</v>
      </c>
      <c r="H62" s="3">
        <f>(J62+R62)-Q62</f>
        <v>0.79999999999999982</v>
      </c>
      <c r="I62" s="8">
        <f>H62*0.048033</f>
        <v>3.8426399999999993E-2</v>
      </c>
      <c r="J62" s="3">
        <v>1.1000000000000001</v>
      </c>
      <c r="K62" s="3">
        <v>0.35</v>
      </c>
      <c r="L62" s="3">
        <f>K62*0.02004</f>
        <v>7.0139999999999994E-3</v>
      </c>
      <c r="M62" s="3">
        <f>J62-K62</f>
        <v>0.75000000000000011</v>
      </c>
      <c r="N62" s="3">
        <f>M62*0.01216</f>
        <v>9.1200000000000014E-3</v>
      </c>
      <c r="O62" s="3">
        <f>D62+F62+H62-J62</f>
        <v>6.9500000000000011</v>
      </c>
      <c r="P62" s="3">
        <f>O62*0.023</f>
        <v>0.15985000000000002</v>
      </c>
      <c r="Q62" s="3">
        <v>5.3</v>
      </c>
      <c r="R62" s="3">
        <v>5</v>
      </c>
      <c r="S62" s="24">
        <f>E62+G62+I62+L62+N62+P62</f>
        <v>0.48012670000000002</v>
      </c>
      <c r="U62" s="25">
        <v>3.5177899999999998E-2</v>
      </c>
      <c r="V62" s="26">
        <v>3.1241933333333329</v>
      </c>
      <c r="X62" s="3">
        <f t="shared" si="25"/>
        <v>1.1259834538622237E-2</v>
      </c>
    </row>
    <row r="63" spans="1:24" x14ac:dyDescent="0.4">
      <c r="A63" s="4"/>
      <c r="B63" s="6" t="s">
        <v>135</v>
      </c>
      <c r="C63" s="4" t="s">
        <v>93</v>
      </c>
      <c r="D63" s="3">
        <v>0.4</v>
      </c>
      <c r="E63" s="3">
        <f>D63*0.06018</f>
        <v>2.4072E-2</v>
      </c>
      <c r="F63" s="3">
        <v>7.2</v>
      </c>
      <c r="G63" s="3">
        <f>F63*0.035457</f>
        <v>0.25529040000000003</v>
      </c>
      <c r="H63" s="3">
        <f>(J63+R63)-Q63</f>
        <v>0.80000000000000071</v>
      </c>
      <c r="I63" s="8">
        <f>H63*0.048033</f>
        <v>3.8426400000000034E-2</v>
      </c>
      <c r="J63" s="3">
        <v>1.1499999999999999</v>
      </c>
      <c r="K63" s="3">
        <v>0.35</v>
      </c>
      <c r="L63" s="3">
        <f>K63*0.02004</f>
        <v>7.0139999999999994E-3</v>
      </c>
      <c r="M63" s="3">
        <f>J63-K63</f>
        <v>0.79999999999999993</v>
      </c>
      <c r="N63" s="3">
        <f>M63*0.01216</f>
        <v>9.7280000000000005E-3</v>
      </c>
      <c r="O63" s="3">
        <f>D63+F63+H63-J63</f>
        <v>7.2500000000000018</v>
      </c>
      <c r="P63" s="3">
        <f>O63*0.023</f>
        <v>0.16675000000000004</v>
      </c>
      <c r="Q63" s="3">
        <v>5.35</v>
      </c>
      <c r="R63" s="3">
        <v>5</v>
      </c>
      <c r="S63" s="24">
        <f>E63+G63+I63+L63+N63+P63</f>
        <v>0.50128080000000008</v>
      </c>
      <c r="U63" s="25">
        <v>3.8035550000000001E-2</v>
      </c>
      <c r="V63" s="26">
        <v>3.9889033333333335</v>
      </c>
      <c r="X63" s="3">
        <f>+U63/V63</f>
        <v>9.5353401227237893E-3</v>
      </c>
    </row>
    <row r="64" spans="1:24" x14ac:dyDescent="0.4">
      <c r="A64" s="4"/>
      <c r="B64" s="6"/>
      <c r="I64" s="8"/>
      <c r="S64" s="24"/>
      <c r="X64" s="3">
        <f>AVERAGE(X43:X63)</f>
        <v>1.1931897645199788E-2</v>
      </c>
    </row>
    <row r="65" spans="1:25" x14ac:dyDescent="0.4">
      <c r="A65" s="4" t="s">
        <v>121</v>
      </c>
      <c r="B65" s="6" t="s">
        <v>136</v>
      </c>
      <c r="C65" s="4" t="s">
        <v>89</v>
      </c>
      <c r="D65" s="3">
        <v>0.35</v>
      </c>
      <c r="E65" s="3">
        <f>D65*0.06018</f>
        <v>2.1062999999999998E-2</v>
      </c>
      <c r="F65" s="3">
        <v>6.45</v>
      </c>
      <c r="G65" s="3">
        <f>F65*0.035457</f>
        <v>0.22869765000000003</v>
      </c>
      <c r="H65" s="8">
        <f>(J65+R65)-Q65</f>
        <v>1.7000000000000002</v>
      </c>
      <c r="I65" s="8">
        <f>H65*0.048033</f>
        <v>8.1656100000000009E-2</v>
      </c>
      <c r="J65" s="8">
        <v>2.2000000000000002</v>
      </c>
      <c r="K65" s="8">
        <v>0.65</v>
      </c>
      <c r="L65" s="8">
        <f>K65*0.02004</f>
        <v>1.3025999999999999E-2</v>
      </c>
      <c r="M65" s="8">
        <f>J65-K65</f>
        <v>1.5500000000000003</v>
      </c>
      <c r="N65" s="3">
        <f>M65*0.01216</f>
        <v>1.8848000000000004E-2</v>
      </c>
      <c r="O65" s="8">
        <f>D65+F65+H65-J65</f>
        <v>6.3</v>
      </c>
      <c r="P65" s="8">
        <f>O65*0.023</f>
        <v>0.1449</v>
      </c>
      <c r="Q65" s="3">
        <v>5.5</v>
      </c>
      <c r="R65" s="3">
        <v>5</v>
      </c>
      <c r="S65" s="24">
        <f>E65+G65+I65+L65+N65+P65</f>
        <v>0.50819075000000002</v>
      </c>
      <c r="U65" s="25">
        <f>AVERAGE(U72)</f>
        <v>2.24374E-2</v>
      </c>
      <c r="V65" s="25">
        <f>AVERAGE(V72)</f>
        <v>1.1175366666666668</v>
      </c>
      <c r="X65" s="3">
        <f>+U65/V65</f>
        <v>2.0077551519562368E-2</v>
      </c>
    </row>
    <row r="66" spans="1:25" x14ac:dyDescent="0.4">
      <c r="A66" s="4"/>
      <c r="B66" s="6" t="s">
        <v>136</v>
      </c>
      <c r="C66" s="4" t="s">
        <v>113</v>
      </c>
      <c r="D66" s="3">
        <v>0.35</v>
      </c>
      <c r="E66" s="3">
        <f>D66*0.06018</f>
        <v>2.1062999999999998E-2</v>
      </c>
      <c r="F66" s="3">
        <v>12</v>
      </c>
      <c r="G66" s="3">
        <f>F66*0.035457</f>
        <v>0.42548400000000003</v>
      </c>
      <c r="H66" s="8">
        <f>(J66+R66)-Q66</f>
        <v>1.3999999999999995</v>
      </c>
      <c r="I66" s="8">
        <f>H66*0.048033</f>
        <v>6.7246199999999978E-2</v>
      </c>
      <c r="J66" s="8">
        <v>2.8</v>
      </c>
      <c r="K66" s="8">
        <v>1</v>
      </c>
      <c r="L66" s="8">
        <f>K66*0.02004</f>
        <v>2.0039999999999999E-2</v>
      </c>
      <c r="M66" s="8">
        <f>J66-K66</f>
        <v>1.7999999999999998</v>
      </c>
      <c r="N66" s="3">
        <f>M66*0.01216</f>
        <v>2.1887999999999998E-2</v>
      </c>
      <c r="O66" s="8">
        <f>D66+F66+H66-J66</f>
        <v>10.95</v>
      </c>
      <c r="P66" s="8">
        <f>O66*0.023</f>
        <v>0.25184999999999996</v>
      </c>
      <c r="Q66" s="3">
        <v>6.4</v>
      </c>
      <c r="R66" s="3">
        <v>5</v>
      </c>
      <c r="S66" s="24">
        <f>E66+G66+I66+L66+N66+P66</f>
        <v>0.80757119999999993</v>
      </c>
      <c r="X66" s="3"/>
    </row>
    <row r="67" spans="1:25" x14ac:dyDescent="0.4">
      <c r="A67" s="4"/>
      <c r="B67" s="6" t="s">
        <v>136</v>
      </c>
      <c r="C67" s="4" t="s">
        <v>114</v>
      </c>
      <c r="D67" s="3">
        <v>0.3</v>
      </c>
      <c r="E67" s="3">
        <f>D67*0.06018</f>
        <v>1.8053999999999997E-2</v>
      </c>
      <c r="F67" s="3">
        <v>11.2</v>
      </c>
      <c r="G67" s="3">
        <f>F67*0.035457</f>
        <v>0.39711839999999998</v>
      </c>
      <c r="H67" s="8">
        <f>(J67+R67)-Q67</f>
        <v>1.6000000000000005</v>
      </c>
      <c r="I67" s="8">
        <f>H67*0.048033</f>
        <v>7.6852800000000027E-2</v>
      </c>
      <c r="J67" s="8">
        <v>2.9</v>
      </c>
      <c r="K67" s="8">
        <v>0.8</v>
      </c>
      <c r="L67" s="8">
        <f>K67*0.02004</f>
        <v>1.6032000000000001E-2</v>
      </c>
      <c r="M67" s="8">
        <f>J67-K67</f>
        <v>2.0999999999999996</v>
      </c>
      <c r="N67" s="3">
        <f>M67*0.01216</f>
        <v>2.5535999999999996E-2</v>
      </c>
      <c r="O67" s="8">
        <f>D67+F67+H67-J67</f>
        <v>10.200000000000001</v>
      </c>
      <c r="P67" s="8">
        <f>O67*0.023</f>
        <v>0.23460000000000003</v>
      </c>
      <c r="Q67" s="3">
        <v>6.3</v>
      </c>
      <c r="R67" s="3">
        <v>5</v>
      </c>
      <c r="S67" s="24">
        <f>E67+G67+I67+L67+N67+P67</f>
        <v>0.76819320000000013</v>
      </c>
      <c r="X67" s="3"/>
    </row>
    <row r="68" spans="1:25" x14ac:dyDescent="0.4">
      <c r="A68" s="4"/>
      <c r="B68" s="6"/>
      <c r="C68" s="4" t="s">
        <v>90</v>
      </c>
      <c r="D68" s="8">
        <v>0.32500000000000001</v>
      </c>
      <c r="E68" s="8">
        <v>1.9558499999999999E-2</v>
      </c>
      <c r="F68" s="8">
        <v>11.6</v>
      </c>
      <c r="G68" s="8">
        <v>0.41130120000000003</v>
      </c>
      <c r="H68" s="8">
        <v>1.5</v>
      </c>
      <c r="I68" s="8">
        <v>7.2049500000000002E-2</v>
      </c>
      <c r="J68" s="8">
        <v>2.85</v>
      </c>
      <c r="K68" s="8">
        <v>0.9</v>
      </c>
      <c r="L68" s="8">
        <v>1.8036E-2</v>
      </c>
      <c r="M68" s="8">
        <v>1.95</v>
      </c>
      <c r="N68" s="8">
        <v>2.3711999999999997E-2</v>
      </c>
      <c r="O68" s="8">
        <v>10.574999999999999</v>
      </c>
      <c r="P68" s="8">
        <v>0.243225</v>
      </c>
      <c r="Q68" s="8">
        <v>6.35</v>
      </c>
      <c r="R68" s="8">
        <v>5</v>
      </c>
      <c r="S68" s="27">
        <v>0.78788220000000009</v>
      </c>
      <c r="U68" s="25">
        <v>3.3701450000000001E-2</v>
      </c>
      <c r="V68" s="26">
        <v>3.8372799999999998</v>
      </c>
      <c r="X68" s="3">
        <f t="shared" ref="X68:X83" si="46">+U68/V68</f>
        <v>8.782640307717967E-3</v>
      </c>
    </row>
    <row r="69" spans="1:25" x14ac:dyDescent="0.4">
      <c r="A69" s="4"/>
      <c r="B69" s="6" t="s">
        <v>136</v>
      </c>
      <c r="C69" s="4" t="s">
        <v>91</v>
      </c>
      <c r="D69" s="3">
        <v>0.3</v>
      </c>
      <c r="E69" s="3">
        <f t="shared" ref="E69:E74" si="47">D69*0.06018</f>
        <v>1.8053999999999997E-2</v>
      </c>
      <c r="F69" s="3">
        <v>11.2</v>
      </c>
      <c r="G69" s="3">
        <f t="shared" ref="G69:G74" si="48">F69*0.035457</f>
        <v>0.39711839999999998</v>
      </c>
      <c r="H69" s="8">
        <f t="shared" ref="H69:H74" si="49">(J69+R69)-Q69</f>
        <v>1.3999999999999995</v>
      </c>
      <c r="I69" s="8">
        <f t="shared" ref="I69:I74" si="50">H69*0.048033</f>
        <v>6.7246199999999978E-2</v>
      </c>
      <c r="J69" s="8">
        <v>2.8</v>
      </c>
      <c r="K69" s="8">
        <v>0.8</v>
      </c>
      <c r="L69" s="8">
        <f t="shared" ref="L69:L74" si="51">K69*0.02004</f>
        <v>1.6032000000000001E-2</v>
      </c>
      <c r="M69" s="8">
        <f t="shared" ref="M69:M74" si="52">J69-K69</f>
        <v>1.9999999999999998</v>
      </c>
      <c r="N69" s="3">
        <f t="shared" ref="N69:N74" si="53">M69*0.01216</f>
        <v>2.4319999999999998E-2</v>
      </c>
      <c r="O69" s="8">
        <f t="shared" ref="O69:O74" si="54">D69+F69+H69-J69</f>
        <v>10.099999999999998</v>
      </c>
      <c r="P69" s="8">
        <f t="shared" ref="P69:P74" si="55">O69*0.023</f>
        <v>0.23229999999999995</v>
      </c>
      <c r="Q69" s="3">
        <v>6.4</v>
      </c>
      <c r="R69" s="3">
        <v>5</v>
      </c>
      <c r="S69" s="24">
        <f t="shared" ref="S69:S74" si="56">E69+G69+I69+L69+N69+P69</f>
        <v>0.75507059999999993</v>
      </c>
      <c r="U69" s="25">
        <v>3.9916849999999997E-2</v>
      </c>
      <c r="V69" s="26">
        <v>4.8045766666666667</v>
      </c>
      <c r="X69" s="3">
        <f t="shared" si="46"/>
        <v>8.3080888846953551E-3</v>
      </c>
    </row>
    <row r="70" spans="1:25" x14ac:dyDescent="0.4">
      <c r="A70" s="4"/>
      <c r="B70" s="6" t="s">
        <v>136</v>
      </c>
      <c r="C70" s="4" t="s">
        <v>92</v>
      </c>
      <c r="D70" s="3">
        <v>0.35</v>
      </c>
      <c r="E70" s="3">
        <f t="shared" si="47"/>
        <v>2.1062999999999998E-2</v>
      </c>
      <c r="F70" s="3">
        <v>11.2</v>
      </c>
      <c r="G70" s="3">
        <f t="shared" si="48"/>
        <v>0.39711839999999998</v>
      </c>
      <c r="H70" s="8">
        <f t="shared" si="49"/>
        <v>0.89999999999999947</v>
      </c>
      <c r="I70" s="8">
        <f t="shared" si="50"/>
        <v>4.3229699999999975E-2</v>
      </c>
      <c r="J70" s="8">
        <v>2.6</v>
      </c>
      <c r="K70" s="8">
        <v>0.8</v>
      </c>
      <c r="L70" s="8">
        <f t="shared" si="51"/>
        <v>1.6032000000000001E-2</v>
      </c>
      <c r="M70" s="8">
        <f t="shared" si="52"/>
        <v>1.8</v>
      </c>
      <c r="N70" s="3">
        <f t="shared" si="53"/>
        <v>2.1888000000000001E-2</v>
      </c>
      <c r="O70" s="8">
        <f t="shared" si="54"/>
        <v>9.85</v>
      </c>
      <c r="P70" s="8">
        <f t="shared" si="55"/>
        <v>0.22655</v>
      </c>
      <c r="Q70" s="3">
        <v>6.7</v>
      </c>
      <c r="R70" s="3">
        <v>5</v>
      </c>
      <c r="S70" s="24">
        <f t="shared" si="56"/>
        <v>0.72588109999999995</v>
      </c>
      <c r="U70" s="25">
        <v>3.9107200000000002E-2</v>
      </c>
      <c r="V70" s="26">
        <v>5.0783033333333334</v>
      </c>
      <c r="X70" s="3">
        <f t="shared" si="46"/>
        <v>7.7008397161519174E-3</v>
      </c>
    </row>
    <row r="71" spans="1:25" x14ac:dyDescent="0.4">
      <c r="A71" s="4"/>
      <c r="B71" s="6" t="s">
        <v>136</v>
      </c>
      <c r="C71" s="4" t="s">
        <v>93</v>
      </c>
      <c r="D71" s="3">
        <v>0.4</v>
      </c>
      <c r="E71" s="3">
        <f t="shared" si="47"/>
        <v>2.4072E-2</v>
      </c>
      <c r="F71" s="3">
        <v>12.2</v>
      </c>
      <c r="G71" s="3">
        <f t="shared" si="48"/>
        <v>0.4325754</v>
      </c>
      <c r="H71" s="8">
        <f t="shared" si="49"/>
        <v>1.2999999999999989</v>
      </c>
      <c r="I71" s="8">
        <f t="shared" si="50"/>
        <v>6.2442899999999947E-2</v>
      </c>
      <c r="J71" s="8">
        <v>3.2</v>
      </c>
      <c r="K71" s="8">
        <v>0.9</v>
      </c>
      <c r="L71" s="8">
        <f t="shared" si="51"/>
        <v>1.8036E-2</v>
      </c>
      <c r="M71" s="8">
        <f t="shared" si="52"/>
        <v>2.3000000000000003</v>
      </c>
      <c r="N71" s="3">
        <f t="shared" si="53"/>
        <v>2.7968000000000003E-2</v>
      </c>
      <c r="O71" s="8">
        <f t="shared" si="54"/>
        <v>10.7</v>
      </c>
      <c r="P71" s="8">
        <f t="shared" si="55"/>
        <v>0.24609999999999999</v>
      </c>
      <c r="Q71" s="3">
        <v>6.9</v>
      </c>
      <c r="R71" s="3">
        <v>5</v>
      </c>
      <c r="S71" s="24">
        <f t="shared" si="56"/>
        <v>0.81119429999999992</v>
      </c>
      <c r="U71" s="25">
        <v>3.5606549999999994E-2</v>
      </c>
      <c r="V71" s="26">
        <v>4.768043333333333</v>
      </c>
      <c r="X71" s="3">
        <f t="shared" si="46"/>
        <v>7.4677488249897048E-3</v>
      </c>
      <c r="Y71" s="26"/>
    </row>
    <row r="72" spans="1:25" x14ac:dyDescent="0.4">
      <c r="A72" s="4" t="s">
        <v>122</v>
      </c>
      <c r="B72" s="6" t="s">
        <v>136</v>
      </c>
      <c r="C72" s="4" t="s">
        <v>89</v>
      </c>
      <c r="D72" s="3">
        <v>0.4</v>
      </c>
      <c r="E72" s="3">
        <f t="shared" si="47"/>
        <v>2.4072E-2</v>
      </c>
      <c r="F72" s="3">
        <v>2.25</v>
      </c>
      <c r="G72" s="3">
        <f t="shared" si="48"/>
        <v>7.9778250000000009E-2</v>
      </c>
      <c r="H72" s="8">
        <f t="shared" si="49"/>
        <v>0.79999999999999982</v>
      </c>
      <c r="I72" s="8">
        <f t="shared" si="50"/>
        <v>3.8426399999999993E-2</v>
      </c>
      <c r="J72" s="8">
        <v>0.85</v>
      </c>
      <c r="K72" s="8">
        <v>0.25</v>
      </c>
      <c r="L72" s="8">
        <f t="shared" si="51"/>
        <v>5.0099999999999997E-3</v>
      </c>
      <c r="M72" s="8">
        <f t="shared" si="52"/>
        <v>0.6</v>
      </c>
      <c r="N72" s="8">
        <f t="shared" si="53"/>
        <v>7.2960000000000004E-3</v>
      </c>
      <c r="O72" s="8">
        <f t="shared" si="54"/>
        <v>2.5999999999999996</v>
      </c>
      <c r="P72" s="8">
        <f t="shared" si="55"/>
        <v>5.9799999999999992E-2</v>
      </c>
      <c r="Q72" s="3">
        <v>5.05</v>
      </c>
      <c r="R72" s="3">
        <v>5</v>
      </c>
      <c r="S72" s="24">
        <f t="shared" si="56"/>
        <v>0.21438264999999998</v>
      </c>
      <c r="U72" s="25">
        <v>2.24374E-2</v>
      </c>
      <c r="V72" s="26">
        <v>1.1175366666666668</v>
      </c>
      <c r="X72" s="3">
        <f t="shared" si="46"/>
        <v>2.0077551519562368E-2</v>
      </c>
    </row>
    <row r="73" spans="1:25" x14ac:dyDescent="0.4">
      <c r="A73" s="4"/>
      <c r="B73" s="6" t="s">
        <v>136</v>
      </c>
      <c r="C73" s="4" t="s">
        <v>113</v>
      </c>
      <c r="D73" s="3">
        <v>0.55000000000000004</v>
      </c>
      <c r="E73" s="3">
        <f t="shared" si="47"/>
        <v>3.3099000000000003E-2</v>
      </c>
      <c r="F73" s="3">
        <v>3.4</v>
      </c>
      <c r="G73" s="3">
        <f t="shared" si="48"/>
        <v>0.1205538</v>
      </c>
      <c r="H73" s="8">
        <f t="shared" si="49"/>
        <v>0.5</v>
      </c>
      <c r="I73" s="8">
        <f t="shared" si="50"/>
        <v>2.40165E-2</v>
      </c>
      <c r="J73" s="8">
        <v>0.85</v>
      </c>
      <c r="K73" s="8">
        <v>0.25</v>
      </c>
      <c r="L73" s="8">
        <f t="shared" si="51"/>
        <v>5.0099999999999997E-3</v>
      </c>
      <c r="M73" s="8">
        <f t="shared" si="52"/>
        <v>0.6</v>
      </c>
      <c r="N73" s="8">
        <f t="shared" si="53"/>
        <v>7.2960000000000004E-3</v>
      </c>
      <c r="O73" s="8">
        <f t="shared" si="54"/>
        <v>3.6</v>
      </c>
      <c r="P73" s="8">
        <f t="shared" si="55"/>
        <v>8.2799999999999999E-2</v>
      </c>
      <c r="Q73" s="3">
        <v>5.35</v>
      </c>
      <c r="R73" s="3">
        <v>5</v>
      </c>
      <c r="S73" s="24">
        <f t="shared" si="56"/>
        <v>0.2727753</v>
      </c>
      <c r="X73" s="3"/>
    </row>
    <row r="74" spans="1:25" x14ac:dyDescent="0.4">
      <c r="A74" s="4"/>
      <c r="B74" s="6" t="s">
        <v>136</v>
      </c>
      <c r="C74" s="4" t="s">
        <v>114</v>
      </c>
      <c r="D74" s="3">
        <v>0.5</v>
      </c>
      <c r="E74" s="3">
        <f t="shared" si="47"/>
        <v>3.0089999999999999E-2</v>
      </c>
      <c r="F74" s="3">
        <v>3.4</v>
      </c>
      <c r="G74" s="3">
        <f t="shared" si="48"/>
        <v>0.1205538</v>
      </c>
      <c r="H74" s="8">
        <f t="shared" si="49"/>
        <v>0.45000000000000018</v>
      </c>
      <c r="I74" s="8">
        <f t="shared" si="50"/>
        <v>2.1614850000000008E-2</v>
      </c>
      <c r="J74" s="8">
        <v>0.75</v>
      </c>
      <c r="K74" s="8">
        <v>0.25</v>
      </c>
      <c r="L74" s="8">
        <f t="shared" si="51"/>
        <v>5.0099999999999997E-3</v>
      </c>
      <c r="M74" s="8">
        <f t="shared" si="52"/>
        <v>0.5</v>
      </c>
      <c r="N74" s="8">
        <f t="shared" si="53"/>
        <v>6.0800000000000003E-3</v>
      </c>
      <c r="O74" s="8">
        <f t="shared" si="54"/>
        <v>3.5999999999999996</v>
      </c>
      <c r="P74" s="8">
        <f t="shared" si="55"/>
        <v>8.2799999999999985E-2</v>
      </c>
      <c r="Q74" s="3">
        <v>5.3</v>
      </c>
      <c r="R74" s="3">
        <v>5</v>
      </c>
      <c r="S74" s="24">
        <f t="shared" si="56"/>
        <v>0.26614864999999999</v>
      </c>
      <c r="X74" s="3"/>
    </row>
    <row r="75" spans="1:25" x14ac:dyDescent="0.4">
      <c r="A75" s="4"/>
      <c r="B75" s="6"/>
      <c r="C75" s="4" t="s">
        <v>90</v>
      </c>
      <c r="D75" s="8">
        <v>0.52500000000000002</v>
      </c>
      <c r="E75" s="8">
        <v>3.1594499999999998E-2</v>
      </c>
      <c r="F75" s="8">
        <v>3.4</v>
      </c>
      <c r="G75" s="8">
        <v>0.1205538</v>
      </c>
      <c r="H75" s="8">
        <v>0.47499999999999998</v>
      </c>
      <c r="I75" s="8">
        <v>2.2815675000000004E-2</v>
      </c>
      <c r="J75" s="8">
        <v>0.8</v>
      </c>
      <c r="K75" s="8">
        <v>0.25</v>
      </c>
      <c r="L75" s="8">
        <v>5.0099999999999997E-3</v>
      </c>
      <c r="M75" s="8">
        <v>0.55000000000000004</v>
      </c>
      <c r="N75" s="8">
        <v>6.6880000000000004E-3</v>
      </c>
      <c r="O75" s="8">
        <v>3.6</v>
      </c>
      <c r="P75" s="8">
        <v>8.2799999999999985E-2</v>
      </c>
      <c r="Q75" s="8">
        <v>5.3250000000000002</v>
      </c>
      <c r="R75" s="8">
        <v>5</v>
      </c>
      <c r="S75" s="27">
        <v>0.26946197500000002</v>
      </c>
      <c r="U75" s="25">
        <v>2.4032999999999999E-2</v>
      </c>
      <c r="V75" s="26">
        <v>1.8901766666666668</v>
      </c>
      <c r="X75" s="3">
        <f t="shared" si="46"/>
        <v>1.2714684518025651E-2</v>
      </c>
    </row>
    <row r="76" spans="1:25" x14ac:dyDescent="0.4">
      <c r="A76" s="4"/>
      <c r="B76" s="6" t="s">
        <v>136</v>
      </c>
      <c r="C76" s="4" t="s">
        <v>91</v>
      </c>
      <c r="D76" s="3">
        <v>0.55000000000000004</v>
      </c>
      <c r="E76" s="3">
        <f>D76*0.06018</f>
        <v>3.3099000000000003E-2</v>
      </c>
      <c r="F76" s="3">
        <v>3.4</v>
      </c>
      <c r="G76" s="3">
        <f>F76*0.035457</f>
        <v>0.1205538</v>
      </c>
      <c r="H76" s="8">
        <f>(J76+R76)-Q76</f>
        <v>0.40000000000000036</v>
      </c>
      <c r="I76" s="8">
        <f>H76*0.048033</f>
        <v>1.9213200000000017E-2</v>
      </c>
      <c r="J76" s="8">
        <v>0.9</v>
      </c>
      <c r="K76" s="8">
        <v>0.3</v>
      </c>
      <c r="L76" s="8">
        <f>K76*0.02004</f>
        <v>6.0119999999999991E-3</v>
      </c>
      <c r="M76" s="8">
        <f>J76-K76</f>
        <v>0.60000000000000009</v>
      </c>
      <c r="N76" s="8">
        <f>M76*0.01216</f>
        <v>7.2960000000000013E-3</v>
      </c>
      <c r="O76" s="8">
        <f>D76+F76+H76-J76</f>
        <v>3.4500000000000006</v>
      </c>
      <c r="P76" s="8">
        <f>O76*0.023</f>
        <v>7.9350000000000018E-2</v>
      </c>
      <c r="Q76" s="3">
        <v>5.5</v>
      </c>
      <c r="R76" s="3">
        <v>5</v>
      </c>
      <c r="S76" s="24">
        <f>E76+G76+I76+L76+N76+P76</f>
        <v>0.26552400000000004</v>
      </c>
      <c r="U76" s="25">
        <v>3.0534149999999999E-2</v>
      </c>
      <c r="V76" s="26">
        <v>1.82562</v>
      </c>
      <c r="X76" s="3">
        <f t="shared" si="46"/>
        <v>1.6725359056101487E-2</v>
      </c>
    </row>
    <row r="77" spans="1:25" x14ac:dyDescent="0.4">
      <c r="A77" s="4"/>
      <c r="B77" s="6" t="s">
        <v>136</v>
      </c>
      <c r="C77" s="4" t="s">
        <v>92</v>
      </c>
      <c r="D77" s="3">
        <v>0.4</v>
      </c>
      <c r="E77" s="3">
        <f>D77*0.06018</f>
        <v>2.4072E-2</v>
      </c>
      <c r="F77" s="3">
        <v>3.5</v>
      </c>
      <c r="G77" s="3">
        <f>F77*0.035457</f>
        <v>0.1240995</v>
      </c>
      <c r="H77" s="8">
        <f>(J77+R77)-Q77</f>
        <v>0.60000000000000053</v>
      </c>
      <c r="I77" s="8">
        <f>H77*0.048033</f>
        <v>2.8819800000000024E-2</v>
      </c>
      <c r="J77" s="8">
        <v>0.9</v>
      </c>
      <c r="K77" s="8">
        <v>0.3</v>
      </c>
      <c r="L77" s="8">
        <f>K77*0.02004</f>
        <v>6.0119999999999991E-3</v>
      </c>
      <c r="M77" s="8">
        <f>J77-K77</f>
        <v>0.60000000000000009</v>
      </c>
      <c r="N77" s="8">
        <f>M77*0.01216</f>
        <v>7.2960000000000013E-3</v>
      </c>
      <c r="O77" s="8">
        <f>D77+F77+H77-J77</f>
        <v>3.6</v>
      </c>
      <c r="P77" s="8">
        <f>O77*0.023</f>
        <v>8.2799999999999999E-2</v>
      </c>
      <c r="Q77" s="3">
        <v>5.3</v>
      </c>
      <c r="R77" s="3">
        <v>5</v>
      </c>
      <c r="S77" s="24">
        <f>E77+G77+I77+L77+N77+P77</f>
        <v>0.27309930000000004</v>
      </c>
      <c r="U77" s="25">
        <v>2.6271500000000003E-2</v>
      </c>
      <c r="V77" s="26">
        <v>1.9387099999999997</v>
      </c>
      <c r="X77" s="3">
        <f t="shared" si="46"/>
        <v>1.3551021039763557E-2</v>
      </c>
    </row>
    <row r="78" spans="1:25" x14ac:dyDescent="0.4">
      <c r="A78" s="4"/>
      <c r="B78" s="6" t="s">
        <v>136</v>
      </c>
      <c r="C78" s="4" t="s">
        <v>93</v>
      </c>
      <c r="D78" s="3">
        <v>0.55000000000000004</v>
      </c>
      <c r="E78" s="3">
        <f>D78*0.06018</f>
        <v>3.3099000000000003E-2</v>
      </c>
      <c r="F78" s="3">
        <v>3.5</v>
      </c>
      <c r="G78" s="3">
        <f>F78*0.035457</f>
        <v>0.1240995</v>
      </c>
      <c r="H78" s="8">
        <f>(J78+R78)-Q78</f>
        <v>0.54999999999999982</v>
      </c>
      <c r="I78" s="8">
        <f>H78*0.048033</f>
        <v>2.6418149999999991E-2</v>
      </c>
      <c r="J78" s="8">
        <v>0.95</v>
      </c>
      <c r="K78" s="8">
        <v>0.4</v>
      </c>
      <c r="L78" s="8">
        <f>K78*0.02004</f>
        <v>8.0160000000000006E-3</v>
      </c>
      <c r="M78" s="8">
        <f>J78-K78</f>
        <v>0.54999999999999993</v>
      </c>
      <c r="N78" s="8">
        <f>M78*0.01216</f>
        <v>6.6879999999999995E-3</v>
      </c>
      <c r="O78" s="8">
        <f>D78+F78+H78-J78</f>
        <v>3.6499999999999995</v>
      </c>
      <c r="P78" s="8">
        <f>O78*0.023</f>
        <v>8.3949999999999983E-2</v>
      </c>
      <c r="Q78" s="3">
        <v>5.4</v>
      </c>
      <c r="R78" s="3">
        <v>5</v>
      </c>
      <c r="S78" s="24">
        <f>E78+G78+I78+L78+N78+P78</f>
        <v>0.28227065000000001</v>
      </c>
      <c r="U78" s="25">
        <v>2.8224249999999996E-2</v>
      </c>
      <c r="V78" s="26">
        <v>1.8201166666666666</v>
      </c>
      <c r="X78" s="3">
        <f t="shared" si="46"/>
        <v>1.5506835642403873E-2</v>
      </c>
    </row>
    <row r="79" spans="1:25" s="10" customFormat="1" x14ac:dyDescent="0.4">
      <c r="B79" s="6" t="s">
        <v>136</v>
      </c>
      <c r="C79" s="4" t="s">
        <v>89</v>
      </c>
      <c r="D79" s="3">
        <f t="shared" ref="D79:P79" si="57">AVERAGE(D74,D69)</f>
        <v>0.4</v>
      </c>
      <c r="E79" s="3">
        <f t="shared" si="57"/>
        <v>2.4071999999999996E-2</v>
      </c>
      <c r="F79" s="3">
        <f t="shared" si="57"/>
        <v>7.3</v>
      </c>
      <c r="G79" s="3">
        <f t="shared" si="57"/>
        <v>0.25883610000000001</v>
      </c>
      <c r="H79" s="3">
        <f t="shared" si="57"/>
        <v>0.92499999999999982</v>
      </c>
      <c r="I79" s="3">
        <f t="shared" si="57"/>
        <v>4.4430524999999992E-2</v>
      </c>
      <c r="J79" s="3">
        <f t="shared" si="57"/>
        <v>1.7749999999999999</v>
      </c>
      <c r="K79" s="3">
        <f t="shared" si="57"/>
        <v>0.52500000000000002</v>
      </c>
      <c r="L79" s="3">
        <f t="shared" si="57"/>
        <v>1.0521000000000001E-2</v>
      </c>
      <c r="M79" s="3">
        <f t="shared" si="57"/>
        <v>1.25</v>
      </c>
      <c r="N79" s="3">
        <f t="shared" si="57"/>
        <v>1.5199999999999998E-2</v>
      </c>
      <c r="O79" s="3">
        <f t="shared" si="57"/>
        <v>6.8499999999999988</v>
      </c>
      <c r="P79" s="3">
        <f t="shared" si="57"/>
        <v>0.15754999999999997</v>
      </c>
      <c r="Q79" s="3"/>
      <c r="R79" s="3"/>
      <c r="S79" s="24">
        <f>AVERAGE(S74,S69)</f>
        <v>0.51060962499999996</v>
      </c>
      <c r="U79" s="25">
        <f>AVERAGE(U65,U72)</f>
        <v>2.24374E-2</v>
      </c>
      <c r="V79" s="25">
        <f>AVERAGE(V65,V72)</f>
        <v>1.1175366666666668</v>
      </c>
      <c r="X79" s="3">
        <f t="shared" si="46"/>
        <v>2.0077551519562368E-2</v>
      </c>
    </row>
    <row r="80" spans="1:25" s="10" customFormat="1" x14ac:dyDescent="0.4">
      <c r="B80" s="6" t="s">
        <v>136</v>
      </c>
      <c r="C80" s="4" t="s">
        <v>90</v>
      </c>
      <c r="D80" s="3">
        <f t="shared" ref="D80:P83" si="58">AVERAGE(D75,D70)</f>
        <v>0.4375</v>
      </c>
      <c r="E80" s="3">
        <f t="shared" si="58"/>
        <v>2.6328749999999998E-2</v>
      </c>
      <c r="F80" s="3">
        <f t="shared" si="58"/>
        <v>7.3</v>
      </c>
      <c r="G80" s="3">
        <f t="shared" si="58"/>
        <v>0.25883610000000001</v>
      </c>
      <c r="H80" s="3">
        <f t="shared" si="58"/>
        <v>0.68749999999999978</v>
      </c>
      <c r="I80" s="3">
        <f t="shared" si="58"/>
        <v>3.3022687499999988E-2</v>
      </c>
      <c r="J80" s="3">
        <f t="shared" si="58"/>
        <v>1.7000000000000002</v>
      </c>
      <c r="K80" s="3">
        <f t="shared" si="58"/>
        <v>0.52500000000000002</v>
      </c>
      <c r="L80" s="3">
        <f t="shared" si="58"/>
        <v>1.0521000000000001E-2</v>
      </c>
      <c r="M80" s="3">
        <f t="shared" si="58"/>
        <v>1.175</v>
      </c>
      <c r="N80" s="3">
        <f t="shared" si="58"/>
        <v>1.4288E-2</v>
      </c>
      <c r="O80" s="3">
        <f t="shared" si="58"/>
        <v>6.7249999999999996</v>
      </c>
      <c r="P80" s="3">
        <f t="shared" si="58"/>
        <v>0.15467500000000001</v>
      </c>
      <c r="Q80" s="3"/>
      <c r="R80" s="3"/>
      <c r="S80" s="24">
        <f>AVERAGE(S75,S70)</f>
        <v>0.49767153749999998</v>
      </c>
      <c r="U80" s="25">
        <f t="shared" ref="U80:V83" si="59">AVERAGE(U68,U75)</f>
        <v>2.8867225E-2</v>
      </c>
      <c r="V80" s="25">
        <f t="shared" si="59"/>
        <v>2.8637283333333334</v>
      </c>
      <c r="X80" s="3"/>
    </row>
    <row r="81" spans="1:24" s="10" customFormat="1" x14ac:dyDescent="0.4">
      <c r="B81" s="6" t="s">
        <v>136</v>
      </c>
      <c r="C81" s="4" t="s">
        <v>91</v>
      </c>
      <c r="D81" s="3">
        <f t="shared" si="58"/>
        <v>0.47500000000000003</v>
      </c>
      <c r="E81" s="3">
        <f t="shared" si="58"/>
        <v>2.85855E-2</v>
      </c>
      <c r="F81" s="3">
        <f t="shared" si="58"/>
        <v>7.8</v>
      </c>
      <c r="G81" s="3">
        <f t="shared" si="58"/>
        <v>0.27656459999999999</v>
      </c>
      <c r="H81" s="3">
        <f t="shared" si="58"/>
        <v>0.84999999999999964</v>
      </c>
      <c r="I81" s="3">
        <f t="shared" si="58"/>
        <v>4.0828049999999984E-2</v>
      </c>
      <c r="J81" s="3">
        <f t="shared" si="58"/>
        <v>2.0500000000000003</v>
      </c>
      <c r="K81" s="3">
        <f t="shared" si="58"/>
        <v>0.6</v>
      </c>
      <c r="L81" s="3">
        <f t="shared" si="58"/>
        <v>1.2024E-2</v>
      </c>
      <c r="M81" s="3">
        <f t="shared" si="58"/>
        <v>1.4500000000000002</v>
      </c>
      <c r="N81" s="3">
        <f t="shared" si="58"/>
        <v>1.7632000000000002E-2</v>
      </c>
      <c r="O81" s="3">
        <f t="shared" si="58"/>
        <v>7.0750000000000002</v>
      </c>
      <c r="P81" s="3">
        <f t="shared" si="58"/>
        <v>0.16272500000000001</v>
      </c>
      <c r="Q81" s="3"/>
      <c r="R81" s="3"/>
      <c r="S81" s="24">
        <f>AVERAGE(S76,S71)</f>
        <v>0.53835915000000001</v>
      </c>
      <c r="U81" s="25">
        <f t="shared" si="59"/>
        <v>3.52255E-2</v>
      </c>
      <c r="V81" s="25">
        <f t="shared" si="59"/>
        <v>3.3150983333333333</v>
      </c>
      <c r="X81" s="3"/>
    </row>
    <row r="82" spans="1:24" s="10" customFormat="1" x14ac:dyDescent="0.4">
      <c r="B82" s="6" t="s">
        <v>136</v>
      </c>
      <c r="C82" s="4" t="s">
        <v>92</v>
      </c>
      <c r="D82" s="3">
        <f t="shared" si="58"/>
        <v>0.4</v>
      </c>
      <c r="E82" s="3">
        <f t="shared" si="58"/>
        <v>2.4072E-2</v>
      </c>
      <c r="F82" s="3">
        <f t="shared" si="58"/>
        <v>2.875</v>
      </c>
      <c r="G82" s="3">
        <f t="shared" si="58"/>
        <v>0.10193887500000001</v>
      </c>
      <c r="H82" s="3">
        <f t="shared" si="58"/>
        <v>0.70000000000000018</v>
      </c>
      <c r="I82" s="3">
        <f t="shared" si="58"/>
        <v>3.362310000000001E-2</v>
      </c>
      <c r="J82" s="3">
        <f t="shared" si="58"/>
        <v>0.875</v>
      </c>
      <c r="K82" s="3">
        <f t="shared" si="58"/>
        <v>0.27500000000000002</v>
      </c>
      <c r="L82" s="3">
        <f t="shared" si="58"/>
        <v>5.5109999999999994E-3</v>
      </c>
      <c r="M82" s="3">
        <f t="shared" si="58"/>
        <v>0.60000000000000009</v>
      </c>
      <c r="N82" s="3">
        <f t="shared" si="58"/>
        <v>7.2960000000000004E-3</v>
      </c>
      <c r="O82" s="3">
        <f t="shared" si="58"/>
        <v>3.0999999999999996</v>
      </c>
      <c r="P82" s="3">
        <f t="shared" si="58"/>
        <v>7.1300000000000002E-2</v>
      </c>
      <c r="Q82" s="3"/>
      <c r="R82" s="3"/>
      <c r="S82" s="24">
        <f>AVERAGE(S77,S72)</f>
        <v>0.24374097500000003</v>
      </c>
      <c r="U82" s="25">
        <f t="shared" si="59"/>
        <v>3.2689350000000006E-2</v>
      </c>
      <c r="V82" s="25">
        <f t="shared" si="59"/>
        <v>3.5085066666666664</v>
      </c>
      <c r="X82" s="3">
        <f t="shared" si="46"/>
        <v>9.3171691279860785E-3</v>
      </c>
    </row>
    <row r="83" spans="1:24" s="10" customFormat="1" x14ac:dyDescent="0.4">
      <c r="B83" s="6" t="s">
        <v>136</v>
      </c>
      <c r="C83" s="4" t="s">
        <v>93</v>
      </c>
      <c r="D83" s="3">
        <f t="shared" si="58"/>
        <v>0.55000000000000004</v>
      </c>
      <c r="E83" s="3">
        <f t="shared" si="58"/>
        <v>3.3099000000000003E-2</v>
      </c>
      <c r="F83" s="3">
        <f t="shared" si="58"/>
        <v>3.45</v>
      </c>
      <c r="G83" s="3">
        <f t="shared" si="58"/>
        <v>0.12232665000000001</v>
      </c>
      <c r="H83" s="3">
        <f t="shared" si="58"/>
        <v>0.52499999999999991</v>
      </c>
      <c r="I83" s="3">
        <f t="shared" si="58"/>
        <v>2.5217324999999995E-2</v>
      </c>
      <c r="J83" s="3">
        <f t="shared" si="58"/>
        <v>0.89999999999999991</v>
      </c>
      <c r="K83" s="3">
        <f t="shared" si="58"/>
        <v>0.32500000000000001</v>
      </c>
      <c r="L83" s="3">
        <f t="shared" si="58"/>
        <v>6.5129999999999997E-3</v>
      </c>
      <c r="M83" s="3">
        <f t="shared" si="58"/>
        <v>0.57499999999999996</v>
      </c>
      <c r="N83" s="3">
        <f t="shared" si="58"/>
        <v>6.992E-3</v>
      </c>
      <c r="O83" s="3">
        <f t="shared" si="58"/>
        <v>3.625</v>
      </c>
      <c r="P83" s="3">
        <f t="shared" si="58"/>
        <v>8.3374999999999991E-2</v>
      </c>
      <c r="Q83" s="3"/>
      <c r="R83" s="3"/>
      <c r="S83" s="24">
        <f>AVERAGE(S78,S73)</f>
        <v>0.27752297500000001</v>
      </c>
      <c r="U83" s="25">
        <f t="shared" si="59"/>
        <v>3.1915399999999997E-2</v>
      </c>
      <c r="V83" s="25">
        <f t="shared" si="59"/>
        <v>3.2940799999999997</v>
      </c>
      <c r="X83" s="3">
        <f t="shared" si="46"/>
        <v>9.6887142995919946E-3</v>
      </c>
    </row>
    <row r="84" spans="1:24" x14ac:dyDescent="0.4">
      <c r="A84" s="4"/>
      <c r="B84" s="4"/>
      <c r="X84" s="3"/>
    </row>
    <row r="85" spans="1:24" x14ac:dyDescent="0.4">
      <c r="A85" s="4"/>
      <c r="B85" s="4"/>
      <c r="X85" s="3"/>
    </row>
    <row r="86" spans="1:24" x14ac:dyDescent="0.4">
      <c r="A86" s="4"/>
      <c r="B86" s="4"/>
      <c r="X86" s="3">
        <f>AVERAGE(X65:X85)</f>
        <v>1.3076596613547284E-2</v>
      </c>
    </row>
    <row r="87" spans="1:24" x14ac:dyDescent="0.4">
      <c r="A87" s="4"/>
      <c r="B87" s="4"/>
    </row>
    <row r="88" spans="1:24" x14ac:dyDescent="0.4">
      <c r="A88" s="4"/>
      <c r="B88" s="4"/>
    </row>
    <row r="89" spans="1:24" x14ac:dyDescent="0.4">
      <c r="A89" s="4"/>
      <c r="B89" s="4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F15A-7D20-4F23-BCFD-172FF7174DB7}">
  <dimension ref="A1:I409"/>
  <sheetViews>
    <sheetView zoomScale="86" zoomScaleNormal="86" workbookViewId="0">
      <selection activeCell="P19" sqref="P19"/>
    </sheetView>
  </sheetViews>
  <sheetFormatPr defaultRowHeight="13.9" x14ac:dyDescent="0.4"/>
  <cols>
    <col min="1" max="1" width="7.33203125" customWidth="1"/>
    <col min="2" max="2" width="9.73046875" bestFit="1" customWidth="1"/>
    <col min="3" max="3" width="16" customWidth="1"/>
    <col min="4" max="4" width="15.73046875" customWidth="1"/>
    <col min="5" max="5" width="9.73046875" bestFit="1" customWidth="1"/>
    <col min="6" max="6" width="14.3984375" customWidth="1"/>
    <col min="7" max="7" width="16.1328125" customWidth="1"/>
  </cols>
  <sheetData>
    <row r="1" spans="1:9" ht="16.149999999999999" x14ac:dyDescent="0.4">
      <c r="A1" s="1" t="s">
        <v>138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144</v>
      </c>
      <c r="H1" s="1" t="s">
        <v>145</v>
      </c>
      <c r="I1" s="1" t="s">
        <v>146</v>
      </c>
    </row>
    <row r="2" spans="1:9" x14ac:dyDescent="0.4">
      <c r="A2" t="s">
        <v>147</v>
      </c>
      <c r="B2" s="20">
        <v>2.6452499999999999</v>
      </c>
      <c r="C2" s="20">
        <f>+B2*3</f>
        <v>7.9357499999999996</v>
      </c>
      <c r="D2" s="20">
        <f>C2*5/1000</f>
        <v>3.9678749999999999E-2</v>
      </c>
      <c r="E2" s="20">
        <v>6.1571899999999999</v>
      </c>
      <c r="F2" s="20">
        <f t="shared" ref="F2:F65" si="0">+E2*75</f>
        <v>461.78924999999998</v>
      </c>
      <c r="G2" s="20">
        <f>F2*5/1000</f>
        <v>2.30894625</v>
      </c>
    </row>
    <row r="3" spans="1:9" x14ac:dyDescent="0.4">
      <c r="A3" t="s">
        <v>147</v>
      </c>
      <c r="B3" s="20">
        <v>2.6976399999999998</v>
      </c>
      <c r="C3" s="20">
        <f t="shared" ref="C3:C66" si="1">+B3*3</f>
        <v>8.0929199999999994</v>
      </c>
      <c r="D3" s="20">
        <f t="shared" ref="D3:D66" si="2">C3*5/1000</f>
        <v>4.0464599999999996E-2</v>
      </c>
      <c r="E3" s="20">
        <v>6.2202400000000004</v>
      </c>
      <c r="F3" s="20">
        <f t="shared" si="0"/>
        <v>466.51800000000003</v>
      </c>
      <c r="G3" s="20">
        <f t="shared" ref="G3:G66" si="3">F3*5/1000</f>
        <v>2.3325900000000002</v>
      </c>
    </row>
    <row r="4" spans="1:9" x14ac:dyDescent="0.4">
      <c r="A4" t="s">
        <v>147</v>
      </c>
      <c r="B4" s="20">
        <v>2.7357399999999998</v>
      </c>
      <c r="C4" s="20">
        <f t="shared" si="1"/>
        <v>8.2072199999999995</v>
      </c>
      <c r="D4" s="20">
        <f t="shared" si="2"/>
        <v>4.1036099999999999E-2</v>
      </c>
      <c r="E4" s="20">
        <v>6.2292500000000004</v>
      </c>
      <c r="F4" s="20">
        <f t="shared" si="0"/>
        <v>467.19375000000002</v>
      </c>
      <c r="G4" s="20">
        <f t="shared" si="3"/>
        <v>2.3359687500000001</v>
      </c>
      <c r="H4" s="20">
        <f>AVERAGE(D2:D4)</f>
        <v>4.0393149999999996E-2</v>
      </c>
      <c r="I4" s="20">
        <f>AVERAGE(E2:E4)</f>
        <v>6.2022266666666672</v>
      </c>
    </row>
    <row r="5" spans="1:9" x14ac:dyDescent="0.4">
      <c r="A5" t="s">
        <v>148</v>
      </c>
      <c r="B5" s="20">
        <v>1.24499</v>
      </c>
      <c r="C5" s="20">
        <f t="shared" si="1"/>
        <v>3.7349700000000001</v>
      </c>
      <c r="D5" s="20">
        <f t="shared" si="2"/>
        <v>1.867485E-2</v>
      </c>
      <c r="E5" s="20">
        <v>1.0860099999999999</v>
      </c>
      <c r="F5" s="20">
        <f t="shared" si="0"/>
        <v>81.450749999999999</v>
      </c>
      <c r="G5" s="20">
        <f t="shared" si="3"/>
        <v>0.40725374999999997</v>
      </c>
    </row>
    <row r="6" spans="1:9" x14ac:dyDescent="0.4">
      <c r="A6" t="s">
        <v>148</v>
      </c>
      <c r="B6" s="20">
        <v>1.2306999999999999</v>
      </c>
      <c r="C6" s="20">
        <f t="shared" si="1"/>
        <v>3.6920999999999999</v>
      </c>
      <c r="D6" s="20">
        <f t="shared" si="2"/>
        <v>1.8460500000000001E-2</v>
      </c>
      <c r="E6" s="20">
        <v>1.08151</v>
      </c>
      <c r="F6" s="20">
        <f t="shared" si="0"/>
        <v>81.113249999999994</v>
      </c>
      <c r="G6" s="20">
        <f t="shared" si="3"/>
        <v>0.40556624999999996</v>
      </c>
    </row>
    <row r="7" spans="1:9" x14ac:dyDescent="0.4">
      <c r="A7" t="s">
        <v>148</v>
      </c>
      <c r="B7" s="20">
        <v>1.2306999999999999</v>
      </c>
      <c r="C7" s="20">
        <f t="shared" si="1"/>
        <v>3.6920999999999999</v>
      </c>
      <c r="D7" s="20">
        <f t="shared" si="2"/>
        <v>1.8460500000000001E-2</v>
      </c>
      <c r="E7" s="20">
        <v>1.09802</v>
      </c>
      <c r="F7" s="20">
        <f t="shared" si="0"/>
        <v>82.351500000000001</v>
      </c>
      <c r="G7" s="20">
        <f t="shared" si="3"/>
        <v>0.4117575</v>
      </c>
      <c r="H7" s="20">
        <f>AVERAGE(D5:D7)</f>
        <v>1.8531950000000002E-2</v>
      </c>
      <c r="I7" s="20">
        <f>AVERAGE(E5:E7)</f>
        <v>1.0885133333333332</v>
      </c>
    </row>
    <row r="8" spans="1:9" x14ac:dyDescent="0.4">
      <c r="A8" s="2" t="s">
        <v>95</v>
      </c>
      <c r="B8" s="20">
        <v>0.40196999999999999</v>
      </c>
      <c r="C8" s="20">
        <f t="shared" si="1"/>
        <v>1.20591</v>
      </c>
      <c r="D8" s="20">
        <f t="shared" si="2"/>
        <v>6.0295500000000007E-3</v>
      </c>
      <c r="E8" s="20">
        <v>0.58460000000000001</v>
      </c>
      <c r="F8" s="20">
        <f t="shared" si="0"/>
        <v>43.844999999999999</v>
      </c>
      <c r="G8" s="20">
        <f t="shared" si="3"/>
        <v>0.219225</v>
      </c>
    </row>
    <row r="9" spans="1:9" x14ac:dyDescent="0.4">
      <c r="A9" s="2" t="s">
        <v>95</v>
      </c>
      <c r="B9" s="20">
        <v>0.40196999999999999</v>
      </c>
      <c r="C9" s="20">
        <f t="shared" si="1"/>
        <v>1.20591</v>
      </c>
      <c r="D9" s="20">
        <f t="shared" si="2"/>
        <v>6.0295500000000007E-3</v>
      </c>
      <c r="E9" s="20">
        <v>0.58460000000000001</v>
      </c>
      <c r="F9" s="20">
        <f t="shared" si="0"/>
        <v>43.844999999999999</v>
      </c>
      <c r="G9" s="20">
        <f t="shared" si="3"/>
        <v>0.219225</v>
      </c>
    </row>
    <row r="10" spans="1:9" x14ac:dyDescent="0.4">
      <c r="A10" s="2" t="s">
        <v>95</v>
      </c>
      <c r="B10" s="20">
        <v>0.37816</v>
      </c>
      <c r="C10" s="20">
        <f t="shared" si="1"/>
        <v>1.1344799999999999</v>
      </c>
      <c r="D10" s="20">
        <f t="shared" si="2"/>
        <v>5.6723999999999993E-3</v>
      </c>
      <c r="E10" s="20">
        <v>0.58460000000000001</v>
      </c>
      <c r="F10" s="20">
        <f t="shared" si="0"/>
        <v>43.844999999999999</v>
      </c>
      <c r="G10" s="20">
        <f t="shared" si="3"/>
        <v>0.219225</v>
      </c>
      <c r="H10" s="20">
        <f>AVERAGE(D8:D10)</f>
        <v>5.9105E-3</v>
      </c>
      <c r="I10" s="20">
        <f>AVERAGE(E8:E10)</f>
        <v>0.58460000000000001</v>
      </c>
    </row>
    <row r="11" spans="1:9" x14ac:dyDescent="0.4">
      <c r="A11" s="2" t="s">
        <v>149</v>
      </c>
      <c r="B11" s="20">
        <v>1.1830700000000001</v>
      </c>
      <c r="C11" s="20">
        <f t="shared" si="1"/>
        <v>3.5492100000000004</v>
      </c>
      <c r="D11" s="20">
        <f t="shared" si="2"/>
        <v>1.7746050000000003E-2</v>
      </c>
      <c r="E11" s="20">
        <v>2.9325299999999999</v>
      </c>
      <c r="F11" s="20">
        <f t="shared" si="0"/>
        <v>219.93975</v>
      </c>
      <c r="G11" s="20">
        <f t="shared" si="3"/>
        <v>1.0996987499999999</v>
      </c>
    </row>
    <row r="12" spans="1:9" x14ac:dyDescent="0.4">
      <c r="A12" s="2" t="s">
        <v>149</v>
      </c>
      <c r="B12" s="20">
        <v>1.2402200000000001</v>
      </c>
      <c r="C12" s="20">
        <f t="shared" si="1"/>
        <v>3.7206600000000005</v>
      </c>
      <c r="D12" s="20">
        <f t="shared" si="2"/>
        <v>1.8603300000000003E-2</v>
      </c>
      <c r="E12" s="20">
        <v>2.9100100000000002</v>
      </c>
      <c r="F12" s="20">
        <f t="shared" si="0"/>
        <v>218.25075000000001</v>
      </c>
      <c r="G12" s="20">
        <f t="shared" si="3"/>
        <v>1.0912537500000001</v>
      </c>
    </row>
    <row r="13" spans="1:9" x14ac:dyDescent="0.4">
      <c r="A13" s="2" t="s">
        <v>149</v>
      </c>
      <c r="B13" s="20">
        <v>1.25451</v>
      </c>
      <c r="C13" s="20">
        <f t="shared" si="1"/>
        <v>3.7635300000000003</v>
      </c>
      <c r="D13" s="20">
        <f t="shared" si="2"/>
        <v>1.8817650000000002E-2</v>
      </c>
      <c r="E13" s="20">
        <v>2.895</v>
      </c>
      <c r="F13" s="20">
        <f t="shared" si="0"/>
        <v>217.125</v>
      </c>
      <c r="G13" s="20">
        <f t="shared" si="3"/>
        <v>1.0856250000000001</v>
      </c>
      <c r="H13" s="20">
        <f>AVERAGE(D11:D13)</f>
        <v>1.8389000000000003E-2</v>
      </c>
      <c r="I13" s="20">
        <f>AVERAGE(E11:E13)</f>
        <v>2.9125133333333331</v>
      </c>
    </row>
    <row r="14" spans="1:9" x14ac:dyDescent="0.4">
      <c r="A14" s="2" t="s">
        <v>150</v>
      </c>
      <c r="B14" s="20">
        <v>1.0020800000000001</v>
      </c>
      <c r="C14" s="20">
        <f t="shared" si="1"/>
        <v>3.00624</v>
      </c>
      <c r="D14" s="20">
        <f t="shared" si="2"/>
        <v>1.50312E-2</v>
      </c>
      <c r="E14" s="20">
        <v>1.82762</v>
      </c>
      <c r="F14" s="20">
        <f t="shared" si="0"/>
        <v>137.07150000000001</v>
      </c>
      <c r="G14" s="20">
        <f t="shared" si="3"/>
        <v>0.68535750000000006</v>
      </c>
    </row>
    <row r="15" spans="1:9" x14ac:dyDescent="0.4">
      <c r="A15" s="2" t="s">
        <v>150</v>
      </c>
      <c r="B15" s="20">
        <v>1.0735300000000001</v>
      </c>
      <c r="C15" s="20">
        <f t="shared" si="1"/>
        <v>3.2205900000000005</v>
      </c>
      <c r="D15" s="20">
        <f t="shared" si="2"/>
        <v>1.6102950000000005E-2</v>
      </c>
      <c r="E15" s="20">
        <v>1.8096099999999999</v>
      </c>
      <c r="F15" s="20">
        <f t="shared" si="0"/>
        <v>135.72075000000001</v>
      </c>
      <c r="G15" s="20">
        <f t="shared" si="3"/>
        <v>0.67860374999999995</v>
      </c>
    </row>
    <row r="16" spans="1:9" x14ac:dyDescent="0.4">
      <c r="A16" s="2" t="s">
        <v>150</v>
      </c>
      <c r="B16" s="20">
        <v>1.01637</v>
      </c>
      <c r="C16" s="20">
        <f t="shared" si="1"/>
        <v>3.0491099999999998</v>
      </c>
      <c r="D16" s="20">
        <f t="shared" si="2"/>
        <v>1.5245549999999998E-2</v>
      </c>
      <c r="E16" s="20">
        <v>1.8141099999999999</v>
      </c>
      <c r="F16" s="20">
        <f t="shared" si="0"/>
        <v>136.05824999999999</v>
      </c>
      <c r="G16" s="20">
        <f t="shared" si="3"/>
        <v>0.68029125000000001</v>
      </c>
      <c r="H16" s="20">
        <f>AVERAGE(D14:D16)</f>
        <v>1.54599E-2</v>
      </c>
      <c r="I16" s="20">
        <f>AVERAGE(E14:E16)</f>
        <v>1.8171133333333334</v>
      </c>
    </row>
    <row r="17" spans="1:9" x14ac:dyDescent="0.4">
      <c r="A17" s="2" t="s">
        <v>151</v>
      </c>
      <c r="B17" s="20">
        <v>0.94493000000000005</v>
      </c>
      <c r="C17" s="20">
        <f t="shared" si="1"/>
        <v>2.8347899999999999</v>
      </c>
      <c r="D17" s="20">
        <f t="shared" si="2"/>
        <v>1.4173949999999999E-2</v>
      </c>
      <c r="E17" s="20">
        <v>2.1669</v>
      </c>
      <c r="F17" s="20">
        <f t="shared" si="0"/>
        <v>162.51750000000001</v>
      </c>
      <c r="G17" s="20">
        <f t="shared" si="3"/>
        <v>0.81258750000000013</v>
      </c>
    </row>
    <row r="18" spans="1:9" x14ac:dyDescent="0.4">
      <c r="A18" s="2" t="s">
        <v>151</v>
      </c>
      <c r="B18" s="20">
        <v>0.94493000000000005</v>
      </c>
      <c r="C18" s="20">
        <f t="shared" si="1"/>
        <v>2.8347899999999999</v>
      </c>
      <c r="D18" s="20">
        <f t="shared" si="2"/>
        <v>1.4173949999999999E-2</v>
      </c>
      <c r="E18" s="20">
        <v>2.1819099999999998</v>
      </c>
      <c r="F18" s="20">
        <f t="shared" si="0"/>
        <v>163.64324999999999</v>
      </c>
      <c r="G18" s="20">
        <f t="shared" si="3"/>
        <v>0.81821624999999998</v>
      </c>
    </row>
    <row r="19" spans="1:9" x14ac:dyDescent="0.4">
      <c r="A19" s="2" t="s">
        <v>151</v>
      </c>
      <c r="B19" s="20">
        <v>0.93064000000000002</v>
      </c>
      <c r="C19" s="20">
        <f t="shared" si="1"/>
        <v>2.7919200000000002</v>
      </c>
      <c r="D19" s="20">
        <f t="shared" si="2"/>
        <v>1.3959600000000003E-2</v>
      </c>
      <c r="E19" s="20">
        <v>2.19693</v>
      </c>
      <c r="F19" s="20">
        <f t="shared" si="0"/>
        <v>164.76975000000002</v>
      </c>
      <c r="G19" s="20">
        <f t="shared" si="3"/>
        <v>0.82384875000000013</v>
      </c>
      <c r="H19" s="20">
        <f>AVERAGE(D17:D19)</f>
        <v>1.4102499999999999E-2</v>
      </c>
      <c r="I19" s="20">
        <f>AVERAGE(E17:E19)</f>
        <v>2.1819133333333336</v>
      </c>
    </row>
    <row r="20" spans="1:9" x14ac:dyDescent="0.4">
      <c r="A20" s="2" t="s">
        <v>152</v>
      </c>
      <c r="B20" s="20">
        <v>4.3455700000000004</v>
      </c>
      <c r="C20" s="20">
        <f t="shared" si="1"/>
        <v>13.036710000000001</v>
      </c>
      <c r="D20" s="20">
        <f t="shared" si="2"/>
        <v>6.5183550000000007E-2</v>
      </c>
      <c r="E20" s="20">
        <v>6.9543499999999998</v>
      </c>
      <c r="F20" s="20">
        <f t="shared" si="0"/>
        <v>521.57624999999996</v>
      </c>
      <c r="G20" s="20">
        <f t="shared" si="3"/>
        <v>2.6078812499999997</v>
      </c>
    </row>
    <row r="21" spans="1:9" x14ac:dyDescent="0.4">
      <c r="A21" s="2" t="s">
        <v>152</v>
      </c>
      <c r="B21" s="20">
        <v>4.4265400000000001</v>
      </c>
      <c r="C21" s="20">
        <f t="shared" si="1"/>
        <v>13.279620000000001</v>
      </c>
      <c r="D21" s="20">
        <f t="shared" si="2"/>
        <v>6.6398100000000002E-2</v>
      </c>
      <c r="E21" s="20">
        <v>6.9633599999999998</v>
      </c>
      <c r="F21" s="20">
        <f t="shared" si="0"/>
        <v>522.25199999999995</v>
      </c>
      <c r="G21" s="20">
        <f t="shared" si="3"/>
        <v>2.6112599999999997</v>
      </c>
    </row>
    <row r="22" spans="1:9" x14ac:dyDescent="0.4">
      <c r="A22" s="2" t="s">
        <v>152</v>
      </c>
      <c r="B22" s="20">
        <v>4.4598800000000001</v>
      </c>
      <c r="C22" s="20">
        <f t="shared" si="1"/>
        <v>13.37964</v>
      </c>
      <c r="D22" s="20">
        <f t="shared" si="2"/>
        <v>6.6898200000000005E-2</v>
      </c>
      <c r="E22" s="20">
        <v>7.0249100000000002</v>
      </c>
      <c r="F22" s="20">
        <f t="shared" si="0"/>
        <v>526.86824999999999</v>
      </c>
      <c r="G22" s="20">
        <f t="shared" si="3"/>
        <v>2.6343412499999999</v>
      </c>
      <c r="H22" s="20">
        <f>AVERAGE(D20:D22)</f>
        <v>6.6159950000000009E-2</v>
      </c>
      <c r="I22" s="20">
        <f>AVERAGE(E20:E22)</f>
        <v>6.9808733333333324</v>
      </c>
    </row>
    <row r="23" spans="1:9" x14ac:dyDescent="0.4">
      <c r="A23" s="2" t="s">
        <v>153</v>
      </c>
      <c r="B23" s="20">
        <v>3.6930700000000001</v>
      </c>
      <c r="C23" s="20">
        <f t="shared" si="1"/>
        <v>11.07921</v>
      </c>
      <c r="D23" s="20">
        <f t="shared" si="2"/>
        <v>5.5396050000000002E-2</v>
      </c>
      <c r="E23" s="20">
        <v>6.0506000000000002</v>
      </c>
      <c r="F23" s="20">
        <f t="shared" si="0"/>
        <v>453.79500000000002</v>
      </c>
      <c r="G23" s="20">
        <f t="shared" si="3"/>
        <v>2.2689749999999997</v>
      </c>
    </row>
    <row r="24" spans="1:9" x14ac:dyDescent="0.4">
      <c r="A24" s="2" t="s">
        <v>153</v>
      </c>
      <c r="B24" s="20">
        <v>3.8931</v>
      </c>
      <c r="C24" s="20">
        <f t="shared" si="1"/>
        <v>11.6793</v>
      </c>
      <c r="D24" s="20">
        <f t="shared" si="2"/>
        <v>5.8396499999999997E-2</v>
      </c>
      <c r="E24" s="20">
        <v>6.01457</v>
      </c>
      <c r="F24" s="20">
        <f t="shared" si="0"/>
        <v>451.09275000000002</v>
      </c>
      <c r="G24" s="20">
        <f t="shared" si="3"/>
        <v>2.2554637500000001</v>
      </c>
    </row>
    <row r="25" spans="1:9" x14ac:dyDescent="0.4">
      <c r="A25" s="2" t="s">
        <v>153</v>
      </c>
      <c r="B25" s="20">
        <v>3.9359700000000002</v>
      </c>
      <c r="C25" s="20">
        <f t="shared" si="1"/>
        <v>11.80791</v>
      </c>
      <c r="D25" s="20">
        <f t="shared" si="2"/>
        <v>5.9039549999999996E-2</v>
      </c>
      <c r="E25" s="20">
        <v>6.0686200000000001</v>
      </c>
      <c r="F25" s="20">
        <f t="shared" si="0"/>
        <v>455.1465</v>
      </c>
      <c r="G25" s="20">
        <f t="shared" si="3"/>
        <v>2.2757325000000002</v>
      </c>
      <c r="H25" s="20">
        <f>AVERAGE(D23:D25)</f>
        <v>5.7610699999999994E-2</v>
      </c>
      <c r="I25" s="20">
        <f>AVERAGE(E23:E25)</f>
        <v>6.0445966666666671</v>
      </c>
    </row>
    <row r="26" spans="1:9" x14ac:dyDescent="0.4">
      <c r="A26" s="2" t="s">
        <v>154</v>
      </c>
      <c r="B26" s="20">
        <v>1.5783799999999999</v>
      </c>
      <c r="C26" s="20">
        <f t="shared" si="1"/>
        <v>4.7351399999999995</v>
      </c>
      <c r="D26" s="20">
        <f t="shared" si="2"/>
        <v>2.3675699999999997E-2</v>
      </c>
      <c r="E26" s="20">
        <v>2.4641500000000001</v>
      </c>
      <c r="F26" s="20">
        <f t="shared" si="0"/>
        <v>184.81125</v>
      </c>
      <c r="G26" s="20">
        <f t="shared" si="3"/>
        <v>0.92405625000000002</v>
      </c>
    </row>
    <row r="27" spans="1:9" x14ac:dyDescent="0.4">
      <c r="A27" s="2" t="s">
        <v>154</v>
      </c>
      <c r="B27" s="20">
        <v>1.5688599999999999</v>
      </c>
      <c r="C27" s="20">
        <f t="shared" si="1"/>
        <v>4.7065799999999998</v>
      </c>
      <c r="D27" s="20">
        <f t="shared" si="2"/>
        <v>2.3532899999999999E-2</v>
      </c>
      <c r="E27" s="20">
        <v>2.4761600000000001</v>
      </c>
      <c r="F27" s="20">
        <f t="shared" si="0"/>
        <v>185.71200000000002</v>
      </c>
      <c r="G27" s="20">
        <f t="shared" si="3"/>
        <v>0.92856000000000005</v>
      </c>
    </row>
    <row r="28" spans="1:9" x14ac:dyDescent="0.4">
      <c r="A28" s="2" t="s">
        <v>154</v>
      </c>
      <c r="B28" s="20">
        <v>1.5069399999999999</v>
      </c>
      <c r="C28" s="20">
        <f t="shared" si="1"/>
        <v>4.5208199999999996</v>
      </c>
      <c r="D28" s="20">
        <f t="shared" si="2"/>
        <v>2.2604099999999998E-2</v>
      </c>
      <c r="E28" s="20">
        <v>2.4701499999999998</v>
      </c>
      <c r="F28" s="20">
        <f t="shared" si="0"/>
        <v>185.26124999999999</v>
      </c>
      <c r="G28" s="20">
        <f t="shared" si="3"/>
        <v>0.92630625</v>
      </c>
      <c r="H28" s="20">
        <f>AVERAGE(D26:D28)</f>
        <v>2.3270899999999997E-2</v>
      </c>
      <c r="I28" s="20">
        <f>AVERAGE(E26:E28)</f>
        <v>2.4701533333333336</v>
      </c>
    </row>
    <row r="29" spans="1:9" x14ac:dyDescent="0.4">
      <c r="A29" s="2" t="s">
        <v>155</v>
      </c>
      <c r="B29" s="20">
        <v>1.7593700000000001</v>
      </c>
      <c r="C29" s="20">
        <f t="shared" si="1"/>
        <v>5.2781099999999999</v>
      </c>
      <c r="D29" s="20">
        <f t="shared" si="2"/>
        <v>2.6390549999999999E-2</v>
      </c>
      <c r="E29" s="20">
        <v>3.03762</v>
      </c>
      <c r="F29" s="20">
        <f t="shared" si="0"/>
        <v>227.82149999999999</v>
      </c>
      <c r="G29" s="20">
        <f t="shared" si="3"/>
        <v>1.1391074999999999</v>
      </c>
    </row>
    <row r="30" spans="1:9" x14ac:dyDescent="0.4">
      <c r="A30" s="2" t="s">
        <v>155</v>
      </c>
      <c r="B30" s="20">
        <v>1.8069999999999999</v>
      </c>
      <c r="C30" s="20">
        <f t="shared" si="1"/>
        <v>5.4209999999999994</v>
      </c>
      <c r="D30" s="20">
        <f t="shared" si="2"/>
        <v>2.7104999999999997E-2</v>
      </c>
      <c r="E30" s="20">
        <v>2.9880800000000001</v>
      </c>
      <c r="F30" s="20">
        <f t="shared" si="0"/>
        <v>224.10599999999999</v>
      </c>
      <c r="G30" s="20">
        <f t="shared" si="3"/>
        <v>1.12053</v>
      </c>
    </row>
    <row r="31" spans="1:9" x14ac:dyDescent="0.4">
      <c r="A31" s="2" t="s">
        <v>155</v>
      </c>
      <c r="B31" s="20">
        <v>1.8451</v>
      </c>
      <c r="C31" s="20">
        <f t="shared" si="1"/>
        <v>5.5352999999999994</v>
      </c>
      <c r="D31" s="20">
        <f t="shared" si="2"/>
        <v>2.7676499999999996E-2</v>
      </c>
      <c r="E31" s="20">
        <v>2.9985900000000001</v>
      </c>
      <c r="F31" s="20">
        <f t="shared" si="0"/>
        <v>224.89425</v>
      </c>
      <c r="G31" s="20">
        <f t="shared" si="3"/>
        <v>1.12447125</v>
      </c>
      <c r="H31" s="20">
        <f>AVERAGE(D29:D31)</f>
        <v>2.7057349999999997E-2</v>
      </c>
      <c r="I31" s="20">
        <f>AVERAGE(E29:E31)</f>
        <v>3.0080966666666669</v>
      </c>
    </row>
    <row r="32" spans="1:9" x14ac:dyDescent="0.4">
      <c r="A32" s="2" t="s">
        <v>156</v>
      </c>
      <c r="B32" s="20">
        <v>1.32595</v>
      </c>
      <c r="C32" s="20">
        <f t="shared" si="1"/>
        <v>3.9778500000000001</v>
      </c>
      <c r="D32" s="20">
        <f t="shared" si="2"/>
        <v>1.9889250000000001E-2</v>
      </c>
      <c r="E32" s="20">
        <v>1.72404</v>
      </c>
      <c r="F32" s="20">
        <f t="shared" si="0"/>
        <v>129.303</v>
      </c>
      <c r="G32" s="20">
        <f t="shared" si="3"/>
        <v>0.64651499999999995</v>
      </c>
    </row>
    <row r="33" spans="1:9" x14ac:dyDescent="0.4">
      <c r="A33" s="2" t="s">
        <v>156</v>
      </c>
      <c r="B33" s="20">
        <v>1.33548</v>
      </c>
      <c r="C33" s="20">
        <f t="shared" si="1"/>
        <v>4.0064399999999996</v>
      </c>
      <c r="D33" s="20">
        <f t="shared" si="2"/>
        <v>2.0032199999999997E-2</v>
      </c>
      <c r="E33" s="20">
        <v>1.72404</v>
      </c>
      <c r="F33" s="20">
        <f t="shared" si="0"/>
        <v>129.303</v>
      </c>
      <c r="G33" s="20">
        <f t="shared" si="3"/>
        <v>0.64651499999999995</v>
      </c>
    </row>
    <row r="34" spans="1:9" x14ac:dyDescent="0.4">
      <c r="A34" s="2" t="s">
        <v>156</v>
      </c>
      <c r="B34" s="20">
        <v>1.3021400000000001</v>
      </c>
      <c r="C34" s="20">
        <f t="shared" si="1"/>
        <v>3.9064200000000002</v>
      </c>
      <c r="D34" s="20">
        <f t="shared" si="2"/>
        <v>1.95321E-2</v>
      </c>
      <c r="E34" s="20">
        <v>1.72404</v>
      </c>
      <c r="F34" s="20">
        <f t="shared" si="0"/>
        <v>129.303</v>
      </c>
      <c r="G34" s="20">
        <f t="shared" si="3"/>
        <v>0.64651499999999995</v>
      </c>
      <c r="H34" s="20">
        <f>AVERAGE(D32:D34)</f>
        <v>1.9817849999999998E-2</v>
      </c>
      <c r="I34" s="20">
        <f>AVERAGE(E32:E34)</f>
        <v>1.7240399999999998</v>
      </c>
    </row>
    <row r="35" spans="1:9" x14ac:dyDescent="0.4">
      <c r="A35" s="2" t="s">
        <v>157</v>
      </c>
      <c r="B35" s="20">
        <v>2.2785099999999998</v>
      </c>
      <c r="C35" s="20">
        <f t="shared" si="1"/>
        <v>6.8355299999999994</v>
      </c>
      <c r="D35" s="20">
        <f t="shared" si="2"/>
        <v>3.4177649999999997E-2</v>
      </c>
      <c r="E35" s="20">
        <v>4.7265100000000002</v>
      </c>
      <c r="F35" s="20">
        <f t="shared" si="0"/>
        <v>354.48824999999999</v>
      </c>
      <c r="G35" s="20">
        <f t="shared" si="3"/>
        <v>1.7724412499999997</v>
      </c>
    </row>
    <row r="36" spans="1:9" x14ac:dyDescent="0.4">
      <c r="A36" s="2" t="s">
        <v>157</v>
      </c>
      <c r="B36" s="20">
        <v>2.4023500000000002</v>
      </c>
      <c r="C36" s="20">
        <f t="shared" si="1"/>
        <v>7.2070500000000006</v>
      </c>
      <c r="D36" s="20">
        <f t="shared" si="2"/>
        <v>3.6035250000000005E-2</v>
      </c>
      <c r="E36" s="20">
        <v>4.7775499999999997</v>
      </c>
      <c r="F36" s="20">
        <f t="shared" si="0"/>
        <v>358.31624999999997</v>
      </c>
      <c r="G36" s="20">
        <f t="shared" si="3"/>
        <v>1.7915812499999997</v>
      </c>
    </row>
    <row r="37" spans="1:9" x14ac:dyDescent="0.4">
      <c r="A37" s="2" t="s">
        <v>157</v>
      </c>
      <c r="B37" s="20">
        <v>2.4404499999999998</v>
      </c>
      <c r="C37" s="20">
        <f t="shared" si="1"/>
        <v>7.3213499999999989</v>
      </c>
      <c r="D37" s="20">
        <f t="shared" si="2"/>
        <v>3.6606749999999993E-2</v>
      </c>
      <c r="E37" s="20">
        <v>4.8000699999999998</v>
      </c>
      <c r="F37" s="20">
        <f t="shared" si="0"/>
        <v>360.00524999999999</v>
      </c>
      <c r="G37" s="20">
        <f t="shared" si="3"/>
        <v>1.8000262499999999</v>
      </c>
      <c r="H37" s="20">
        <f>AVERAGE(D35:D37)</f>
        <v>3.5606549999999994E-2</v>
      </c>
      <c r="I37" s="20">
        <f>AVERAGE(E35:E37)</f>
        <v>4.768043333333333</v>
      </c>
    </row>
    <row r="38" spans="1:9" x14ac:dyDescent="0.4">
      <c r="A38" s="2" t="s">
        <v>158</v>
      </c>
      <c r="B38" s="20">
        <v>1.8212900000000001</v>
      </c>
      <c r="C38" s="20">
        <f t="shared" si="1"/>
        <v>5.46387</v>
      </c>
      <c r="D38" s="20">
        <f t="shared" si="2"/>
        <v>2.7319349999999999E-2</v>
      </c>
      <c r="E38" s="20">
        <v>3.6456200000000001</v>
      </c>
      <c r="F38" s="20">
        <f t="shared" si="0"/>
        <v>273.42149999999998</v>
      </c>
      <c r="G38" s="20">
        <f t="shared" si="3"/>
        <v>1.3671074999999999</v>
      </c>
    </row>
    <row r="39" spans="1:9" x14ac:dyDescent="0.4">
      <c r="A39" s="2" t="s">
        <v>158</v>
      </c>
      <c r="B39" s="20">
        <v>1.83081</v>
      </c>
      <c r="C39" s="20">
        <f t="shared" si="1"/>
        <v>5.4924300000000006</v>
      </c>
      <c r="D39" s="20">
        <f t="shared" si="2"/>
        <v>2.7462150000000001E-2</v>
      </c>
      <c r="E39" s="20">
        <v>3.6696399999999998</v>
      </c>
      <c r="F39" s="20">
        <f t="shared" si="0"/>
        <v>275.22299999999996</v>
      </c>
      <c r="G39" s="20">
        <f t="shared" si="3"/>
        <v>1.3761149999999998</v>
      </c>
    </row>
    <row r="40" spans="1:9" x14ac:dyDescent="0.4">
      <c r="A40" s="2" t="s">
        <v>158</v>
      </c>
      <c r="B40" s="20">
        <v>1.81176</v>
      </c>
      <c r="C40" s="20">
        <f t="shared" si="1"/>
        <v>5.4352800000000006</v>
      </c>
      <c r="D40" s="20">
        <f t="shared" si="2"/>
        <v>2.71764E-2</v>
      </c>
      <c r="E40" s="20">
        <v>3.6215999999999999</v>
      </c>
      <c r="F40" s="20">
        <f t="shared" si="0"/>
        <v>271.62</v>
      </c>
      <c r="G40" s="20">
        <f t="shared" si="3"/>
        <v>1.3580999999999999</v>
      </c>
      <c r="H40" s="20">
        <f>AVERAGE(D38:D40)</f>
        <v>2.7319300000000001E-2</v>
      </c>
      <c r="I40" s="20">
        <f>AVERAGE(E38:E40)</f>
        <v>3.6456199999999996</v>
      </c>
    </row>
    <row r="41" spans="1:9" x14ac:dyDescent="0.4">
      <c r="A41" s="2" t="s">
        <v>159</v>
      </c>
      <c r="B41" s="20">
        <v>2.19278</v>
      </c>
      <c r="C41" s="20">
        <f t="shared" si="1"/>
        <v>6.5783399999999999</v>
      </c>
      <c r="D41" s="20">
        <f t="shared" si="2"/>
        <v>3.2891700000000003E-2</v>
      </c>
      <c r="E41" s="20">
        <v>4.1305199999999997</v>
      </c>
      <c r="F41" s="20">
        <f t="shared" si="0"/>
        <v>309.78899999999999</v>
      </c>
      <c r="G41" s="20">
        <f t="shared" si="3"/>
        <v>1.548945</v>
      </c>
    </row>
    <row r="42" spans="1:9" x14ac:dyDescent="0.4">
      <c r="A42" s="2" t="s">
        <v>159</v>
      </c>
      <c r="B42" s="20">
        <v>2.26423</v>
      </c>
      <c r="C42" s="20">
        <f t="shared" si="1"/>
        <v>6.7926900000000003</v>
      </c>
      <c r="D42" s="20">
        <f t="shared" si="2"/>
        <v>3.3963449999999999E-2</v>
      </c>
      <c r="E42" s="20">
        <v>4.15754</v>
      </c>
      <c r="F42" s="20">
        <f t="shared" si="0"/>
        <v>311.81549999999999</v>
      </c>
      <c r="G42" s="20">
        <f t="shared" si="3"/>
        <v>1.5590774999999999</v>
      </c>
    </row>
    <row r="43" spans="1:9" x14ac:dyDescent="0.4">
      <c r="A43" s="2" t="s">
        <v>159</v>
      </c>
      <c r="B43" s="20">
        <v>2.2404099999999998</v>
      </c>
      <c r="C43" s="20">
        <f t="shared" si="1"/>
        <v>6.7212299999999994</v>
      </c>
      <c r="D43" s="20">
        <f t="shared" si="2"/>
        <v>3.3606150000000001E-2</v>
      </c>
      <c r="E43" s="20">
        <v>4.1830600000000002</v>
      </c>
      <c r="F43" s="20">
        <f t="shared" si="0"/>
        <v>313.72950000000003</v>
      </c>
      <c r="G43" s="20">
        <f t="shared" si="3"/>
        <v>1.5686475</v>
      </c>
      <c r="H43" s="20">
        <f>AVERAGE(D41:D43)</f>
        <v>3.3487099999999999E-2</v>
      </c>
      <c r="I43" s="20">
        <f>AVERAGE(E41:E43)</f>
        <v>4.1570399999999994</v>
      </c>
    </row>
    <row r="44" spans="1:9" x14ac:dyDescent="0.4">
      <c r="A44" s="2" t="s">
        <v>160</v>
      </c>
      <c r="B44" s="20">
        <v>3.5597099999999999</v>
      </c>
      <c r="C44" s="20">
        <f t="shared" si="1"/>
        <v>10.679130000000001</v>
      </c>
      <c r="D44" s="20">
        <f t="shared" si="2"/>
        <v>5.3395650000000003E-2</v>
      </c>
      <c r="E44" s="20">
        <v>4.8421099999999999</v>
      </c>
      <c r="F44" s="20">
        <f t="shared" si="0"/>
        <v>363.15825000000001</v>
      </c>
      <c r="G44" s="20">
        <f t="shared" si="3"/>
        <v>1.81579125</v>
      </c>
    </row>
    <row r="45" spans="1:9" x14ac:dyDescent="0.4">
      <c r="A45" s="2" t="s">
        <v>160</v>
      </c>
      <c r="B45" s="20">
        <v>3.6263899999999998</v>
      </c>
      <c r="C45" s="20">
        <f t="shared" si="1"/>
        <v>10.879169999999998</v>
      </c>
      <c r="D45" s="20">
        <f t="shared" si="2"/>
        <v>5.4395849999999996E-2</v>
      </c>
      <c r="E45" s="20">
        <v>4.86463</v>
      </c>
      <c r="F45" s="20">
        <f t="shared" si="0"/>
        <v>364.84724999999997</v>
      </c>
      <c r="G45" s="20">
        <f t="shared" si="3"/>
        <v>1.82423625</v>
      </c>
    </row>
    <row r="46" spans="1:9" x14ac:dyDescent="0.4">
      <c r="A46" s="2" t="s">
        <v>160</v>
      </c>
      <c r="B46" s="20">
        <v>3.5739999999999998</v>
      </c>
      <c r="C46" s="20">
        <f t="shared" si="1"/>
        <v>10.722</v>
      </c>
      <c r="D46" s="20">
        <f t="shared" si="2"/>
        <v>5.3609999999999998E-2</v>
      </c>
      <c r="E46" s="20">
        <v>4.9306799999999997</v>
      </c>
      <c r="F46" s="20">
        <f t="shared" si="0"/>
        <v>369.80099999999999</v>
      </c>
      <c r="G46" s="20">
        <f t="shared" si="3"/>
        <v>1.8490049999999998</v>
      </c>
      <c r="H46" s="20">
        <f>AVERAGE(D44:D46)</f>
        <v>5.3800500000000001E-2</v>
      </c>
      <c r="I46" s="20">
        <f>AVERAGE(E44:E46)</f>
        <v>4.8791399999999996</v>
      </c>
    </row>
    <row r="47" spans="1:9" x14ac:dyDescent="0.4">
      <c r="A47" s="2" t="s">
        <v>161</v>
      </c>
      <c r="B47" s="20">
        <v>3.1120000000000001</v>
      </c>
      <c r="C47" s="20">
        <f t="shared" si="1"/>
        <v>9.3360000000000003</v>
      </c>
      <c r="D47" s="20">
        <f t="shared" si="2"/>
        <v>4.6679999999999999E-2</v>
      </c>
      <c r="E47" s="20">
        <v>3.9443700000000002</v>
      </c>
      <c r="F47" s="20">
        <f t="shared" si="0"/>
        <v>295.82775000000004</v>
      </c>
      <c r="G47" s="20">
        <f t="shared" si="3"/>
        <v>1.4791387500000002</v>
      </c>
    </row>
    <row r="48" spans="1:9" x14ac:dyDescent="0.4">
      <c r="A48" s="2" t="s">
        <v>161</v>
      </c>
      <c r="B48" s="20">
        <v>3.0834299999999999</v>
      </c>
      <c r="C48" s="20">
        <f t="shared" si="1"/>
        <v>9.2502899999999997</v>
      </c>
      <c r="D48" s="20">
        <f t="shared" si="2"/>
        <v>4.625145E-2</v>
      </c>
      <c r="E48" s="20">
        <v>3.9698899999999999</v>
      </c>
      <c r="F48" s="20">
        <f t="shared" si="0"/>
        <v>297.74174999999997</v>
      </c>
      <c r="G48" s="20">
        <f t="shared" si="3"/>
        <v>1.4887087499999998</v>
      </c>
    </row>
    <row r="49" spans="1:9" x14ac:dyDescent="0.4">
      <c r="A49" s="2" t="s">
        <v>161</v>
      </c>
      <c r="B49" s="20">
        <v>3.1215299999999999</v>
      </c>
      <c r="C49" s="20">
        <f t="shared" si="1"/>
        <v>9.3645899999999997</v>
      </c>
      <c r="D49" s="20">
        <f t="shared" si="2"/>
        <v>4.6822950000000002E-2</v>
      </c>
      <c r="E49" s="20">
        <v>3.9758900000000001</v>
      </c>
      <c r="F49" s="20">
        <f t="shared" si="0"/>
        <v>298.19175000000001</v>
      </c>
      <c r="G49" s="20">
        <f t="shared" si="3"/>
        <v>1.4909587500000001</v>
      </c>
      <c r="H49" s="20">
        <f>AVERAGE(D47:D49)</f>
        <v>4.6584800000000003E-2</v>
      </c>
      <c r="I49" s="20">
        <f>AVERAGE(E47:E49)</f>
        <v>3.9633833333333333</v>
      </c>
    </row>
    <row r="50" spans="1:9" x14ac:dyDescent="0.4">
      <c r="A50" s="2" t="s">
        <v>162</v>
      </c>
      <c r="B50" s="20">
        <v>1.7212700000000001</v>
      </c>
      <c r="C50" s="20">
        <f t="shared" si="1"/>
        <v>5.1638099999999998</v>
      </c>
      <c r="D50" s="20">
        <f t="shared" si="2"/>
        <v>2.5819049999999996E-2</v>
      </c>
      <c r="E50" s="20">
        <v>1.8696600000000001</v>
      </c>
      <c r="F50" s="20">
        <f t="shared" si="0"/>
        <v>140.22450000000001</v>
      </c>
      <c r="G50" s="20">
        <f t="shared" si="3"/>
        <v>0.70112250000000009</v>
      </c>
    </row>
    <row r="51" spans="1:9" x14ac:dyDescent="0.4">
      <c r="A51" s="2" t="s">
        <v>162</v>
      </c>
      <c r="B51" s="20">
        <v>1.55457</v>
      </c>
      <c r="C51" s="20">
        <f t="shared" si="1"/>
        <v>4.66371</v>
      </c>
      <c r="D51" s="20">
        <f t="shared" si="2"/>
        <v>2.331855E-2</v>
      </c>
      <c r="E51" s="20">
        <v>1.89368</v>
      </c>
      <c r="F51" s="20">
        <f t="shared" si="0"/>
        <v>142.02600000000001</v>
      </c>
      <c r="G51" s="20">
        <f t="shared" si="3"/>
        <v>0.71013000000000015</v>
      </c>
    </row>
    <row r="52" spans="1:9" x14ac:dyDescent="0.4">
      <c r="A52" s="2" t="s">
        <v>162</v>
      </c>
      <c r="B52" s="20">
        <v>1.5307599999999999</v>
      </c>
      <c r="C52" s="20">
        <f t="shared" si="1"/>
        <v>4.5922799999999997</v>
      </c>
      <c r="D52" s="20">
        <f t="shared" si="2"/>
        <v>2.2961399999999996E-2</v>
      </c>
      <c r="E52" s="20">
        <v>1.9071899999999999</v>
      </c>
      <c r="F52" s="20">
        <f t="shared" si="0"/>
        <v>143.03924999999998</v>
      </c>
      <c r="G52" s="20">
        <f t="shared" si="3"/>
        <v>0.71519624999999998</v>
      </c>
      <c r="H52" s="20">
        <f>AVERAGE(D50:D52)</f>
        <v>2.4032999999999999E-2</v>
      </c>
      <c r="I52" s="20">
        <f>AVERAGE(E50:E52)</f>
        <v>1.8901766666666668</v>
      </c>
    </row>
    <row r="53" spans="1:9" x14ac:dyDescent="0.4">
      <c r="A53" s="2" t="s">
        <v>163</v>
      </c>
      <c r="B53" s="20">
        <v>1.5021800000000001</v>
      </c>
      <c r="C53" s="20">
        <f t="shared" si="1"/>
        <v>4.5065400000000002</v>
      </c>
      <c r="D53" s="20">
        <f t="shared" si="2"/>
        <v>2.2532700000000003E-2</v>
      </c>
      <c r="E53" s="20">
        <v>1.11904</v>
      </c>
      <c r="F53" s="20">
        <f t="shared" si="0"/>
        <v>83.927999999999997</v>
      </c>
      <c r="G53" s="20">
        <f t="shared" si="3"/>
        <v>0.41964000000000001</v>
      </c>
    </row>
    <row r="54" spans="1:9" x14ac:dyDescent="0.4">
      <c r="A54" s="2" t="s">
        <v>163</v>
      </c>
      <c r="B54" s="20">
        <v>1.52599</v>
      </c>
      <c r="C54" s="20">
        <f t="shared" si="1"/>
        <v>4.5779699999999997</v>
      </c>
      <c r="D54" s="20">
        <f t="shared" si="2"/>
        <v>2.288985E-2</v>
      </c>
      <c r="E54" s="20">
        <v>1.11453</v>
      </c>
      <c r="F54" s="20">
        <f t="shared" si="0"/>
        <v>83.589749999999995</v>
      </c>
      <c r="G54" s="20">
        <f t="shared" si="3"/>
        <v>0.41794874999999998</v>
      </c>
    </row>
    <row r="55" spans="1:9" x14ac:dyDescent="0.4">
      <c r="A55" s="2" t="s">
        <v>163</v>
      </c>
      <c r="B55" s="20">
        <v>1.4593100000000001</v>
      </c>
      <c r="C55" s="20">
        <f t="shared" si="1"/>
        <v>4.3779300000000001</v>
      </c>
      <c r="D55" s="20">
        <f t="shared" si="2"/>
        <v>2.188965E-2</v>
      </c>
      <c r="E55" s="20">
        <v>1.11904</v>
      </c>
      <c r="F55" s="20">
        <f t="shared" si="0"/>
        <v>83.927999999999997</v>
      </c>
      <c r="G55" s="20">
        <f t="shared" si="3"/>
        <v>0.41964000000000001</v>
      </c>
      <c r="H55" s="20">
        <f>AVERAGE(D53:D55)</f>
        <v>2.24374E-2</v>
      </c>
      <c r="I55" s="20">
        <f>AVERAGE(E53:E55)</f>
        <v>1.1175366666666668</v>
      </c>
    </row>
    <row r="56" spans="1:9" x14ac:dyDescent="0.4">
      <c r="A56" s="2" t="s">
        <v>164</v>
      </c>
      <c r="B56" s="20">
        <v>0.82586000000000004</v>
      </c>
      <c r="C56" s="20">
        <f t="shared" si="1"/>
        <v>2.4775800000000001</v>
      </c>
      <c r="D56" s="20">
        <f t="shared" si="2"/>
        <v>1.23879E-2</v>
      </c>
      <c r="E56" s="20">
        <v>0.88334000000000001</v>
      </c>
      <c r="F56" s="20">
        <f t="shared" si="0"/>
        <v>66.250500000000002</v>
      </c>
      <c r="G56" s="20">
        <f t="shared" si="3"/>
        <v>0.33125250000000001</v>
      </c>
    </row>
    <row r="57" spans="1:9" x14ac:dyDescent="0.4">
      <c r="A57" s="2" t="s">
        <v>164</v>
      </c>
      <c r="B57" s="20">
        <v>0.85443999999999998</v>
      </c>
      <c r="C57" s="20">
        <f t="shared" si="1"/>
        <v>2.56332</v>
      </c>
      <c r="D57" s="20">
        <f t="shared" si="2"/>
        <v>1.2816600000000001E-2</v>
      </c>
      <c r="E57" s="20">
        <v>0.88785000000000003</v>
      </c>
      <c r="F57" s="20">
        <f t="shared" si="0"/>
        <v>66.588750000000005</v>
      </c>
      <c r="G57" s="20">
        <f t="shared" si="3"/>
        <v>0.33294375000000004</v>
      </c>
    </row>
    <row r="58" spans="1:9" x14ac:dyDescent="0.4">
      <c r="A58" s="2" t="s">
        <v>164</v>
      </c>
      <c r="B58" s="20">
        <v>0.84014999999999995</v>
      </c>
      <c r="C58" s="20">
        <f t="shared" si="1"/>
        <v>2.5204499999999999</v>
      </c>
      <c r="D58" s="20">
        <f t="shared" si="2"/>
        <v>1.2602249999999999E-2</v>
      </c>
      <c r="E58" s="20">
        <v>0.88483999999999996</v>
      </c>
      <c r="F58" s="20">
        <f t="shared" si="0"/>
        <v>66.363</v>
      </c>
      <c r="G58" s="20">
        <f t="shared" si="3"/>
        <v>0.33181499999999997</v>
      </c>
      <c r="H58" s="20">
        <f>AVERAGE(D56:D58)</f>
        <v>1.2602250000000001E-2</v>
      </c>
      <c r="I58" s="20">
        <f>AVERAGE(E56:E58)</f>
        <v>0.88534333333333326</v>
      </c>
    </row>
    <row r="59" spans="1:9" x14ac:dyDescent="0.4">
      <c r="A59" s="2" t="s">
        <v>165</v>
      </c>
      <c r="B59" s="20">
        <v>1.8069999999999999</v>
      </c>
      <c r="C59" s="20">
        <f t="shared" si="1"/>
        <v>5.4209999999999994</v>
      </c>
      <c r="D59" s="20">
        <f t="shared" si="2"/>
        <v>2.7104999999999997E-2</v>
      </c>
      <c r="E59" s="20">
        <v>2.2945099999999998</v>
      </c>
      <c r="F59" s="20">
        <f t="shared" si="0"/>
        <v>172.08824999999999</v>
      </c>
      <c r="G59" s="20">
        <f t="shared" si="3"/>
        <v>0.86044124999999994</v>
      </c>
    </row>
    <row r="60" spans="1:9" x14ac:dyDescent="0.4">
      <c r="A60" s="2" t="s">
        <v>165</v>
      </c>
      <c r="B60" s="20">
        <v>1.73556</v>
      </c>
      <c r="C60" s="20">
        <f t="shared" si="1"/>
        <v>5.2066800000000004</v>
      </c>
      <c r="D60" s="20">
        <f t="shared" si="2"/>
        <v>2.6033400000000002E-2</v>
      </c>
      <c r="E60" s="20">
        <v>2.30952</v>
      </c>
      <c r="F60" s="20">
        <f t="shared" si="0"/>
        <v>173.214</v>
      </c>
      <c r="G60" s="20">
        <f t="shared" si="3"/>
        <v>0.8660699999999999</v>
      </c>
    </row>
    <row r="61" spans="1:9" x14ac:dyDescent="0.4">
      <c r="A61" s="2" t="s">
        <v>165</v>
      </c>
      <c r="B61" s="20">
        <v>1.74508</v>
      </c>
      <c r="C61" s="20">
        <f t="shared" si="1"/>
        <v>5.2352400000000001</v>
      </c>
      <c r="D61" s="20">
        <f t="shared" si="2"/>
        <v>2.61762E-2</v>
      </c>
      <c r="E61" s="20">
        <v>2.3290299999999999</v>
      </c>
      <c r="F61" s="20">
        <f t="shared" si="0"/>
        <v>174.67724999999999</v>
      </c>
      <c r="G61" s="20">
        <f t="shared" si="3"/>
        <v>0.87338624999999992</v>
      </c>
      <c r="H61" s="20">
        <f>AVERAGE(D59:D61)</f>
        <v>2.6438199999999999E-2</v>
      </c>
      <c r="I61" s="20">
        <f>AVERAGE(E59:E61)</f>
        <v>2.3110199999999996</v>
      </c>
    </row>
    <row r="62" spans="1:9" x14ac:dyDescent="0.4">
      <c r="A62">
        <v>1</v>
      </c>
      <c r="B62" s="20">
        <v>2.6452499999999999</v>
      </c>
      <c r="C62" s="20">
        <f t="shared" si="1"/>
        <v>7.9357499999999996</v>
      </c>
      <c r="D62" s="20">
        <f t="shared" si="2"/>
        <v>3.9678749999999999E-2</v>
      </c>
      <c r="E62" s="20">
        <v>2.2945099999999998</v>
      </c>
      <c r="F62" s="20">
        <f t="shared" si="0"/>
        <v>172.08824999999999</v>
      </c>
      <c r="G62" s="20">
        <f t="shared" si="3"/>
        <v>0.86044124999999994</v>
      </c>
    </row>
    <row r="63" spans="1:9" x14ac:dyDescent="0.4">
      <c r="A63">
        <v>1</v>
      </c>
      <c r="B63" s="20">
        <v>2.6071499999999999</v>
      </c>
      <c r="C63" s="20">
        <f t="shared" si="1"/>
        <v>7.8214499999999996</v>
      </c>
      <c r="D63" s="20">
        <f t="shared" si="2"/>
        <v>3.9107250000000003E-2</v>
      </c>
      <c r="E63" s="20">
        <v>2.30952</v>
      </c>
      <c r="F63" s="20">
        <f t="shared" si="0"/>
        <v>173.214</v>
      </c>
      <c r="G63" s="20">
        <f t="shared" si="3"/>
        <v>0.8660699999999999</v>
      </c>
    </row>
    <row r="64" spans="1:9" x14ac:dyDescent="0.4">
      <c r="A64">
        <v>1</v>
      </c>
      <c r="B64" s="20">
        <v>2.63096</v>
      </c>
      <c r="C64" s="20">
        <f t="shared" si="1"/>
        <v>7.8928799999999999</v>
      </c>
      <c r="D64" s="20">
        <f t="shared" si="2"/>
        <v>3.9464399999999997E-2</v>
      </c>
      <c r="E64" s="20">
        <v>2.32003</v>
      </c>
      <c r="F64" s="20">
        <f t="shared" si="0"/>
        <v>174.00225</v>
      </c>
      <c r="G64" s="20">
        <f t="shared" si="3"/>
        <v>0.87001125000000001</v>
      </c>
      <c r="H64" s="20">
        <f>AVERAGE(D62:D64)</f>
        <v>3.9416799999999995E-2</v>
      </c>
      <c r="I64" s="20">
        <f>AVERAGE(E62:E64)</f>
        <v>2.30802</v>
      </c>
    </row>
    <row r="65" spans="1:9" x14ac:dyDescent="0.4">
      <c r="A65">
        <v>2</v>
      </c>
      <c r="B65" s="20">
        <v>2.7881300000000002</v>
      </c>
      <c r="C65" s="20">
        <f t="shared" si="1"/>
        <v>8.3643900000000002</v>
      </c>
      <c r="D65" s="20">
        <f t="shared" si="2"/>
        <v>4.1821950000000004E-2</v>
      </c>
      <c r="E65" s="20">
        <v>3.0030899999999998</v>
      </c>
      <c r="F65" s="20">
        <f t="shared" si="0"/>
        <v>225.23174999999998</v>
      </c>
      <c r="G65" s="20">
        <f t="shared" si="3"/>
        <v>1.1261587499999999</v>
      </c>
    </row>
    <row r="66" spans="1:9" x14ac:dyDescent="0.4">
      <c r="A66">
        <v>2</v>
      </c>
      <c r="B66" s="20">
        <v>2.7500300000000002</v>
      </c>
      <c r="C66" s="20">
        <f t="shared" si="1"/>
        <v>8.2500900000000001</v>
      </c>
      <c r="D66" s="20">
        <f t="shared" si="2"/>
        <v>4.1250450000000001E-2</v>
      </c>
      <c r="E66" s="20">
        <v>3.0045899999999999</v>
      </c>
      <c r="F66" s="20">
        <f t="shared" ref="F66:F129" si="4">+E66*75</f>
        <v>225.34424999999999</v>
      </c>
      <c r="G66" s="20">
        <f t="shared" si="3"/>
        <v>1.1267212500000001</v>
      </c>
    </row>
    <row r="67" spans="1:9" x14ac:dyDescent="0.4">
      <c r="A67">
        <v>2</v>
      </c>
      <c r="B67" s="20">
        <v>2.7262200000000001</v>
      </c>
      <c r="C67" s="20">
        <f t="shared" ref="C67:C130" si="5">+B67*3</f>
        <v>8.1786600000000007</v>
      </c>
      <c r="D67" s="20">
        <f t="shared" ref="D67:D130" si="6">C67*5/1000</f>
        <v>4.08933E-2</v>
      </c>
      <c r="E67" s="20">
        <v>3.0316100000000001</v>
      </c>
      <c r="F67" s="20">
        <f t="shared" si="4"/>
        <v>227.37075000000002</v>
      </c>
      <c r="G67" s="20">
        <f t="shared" ref="G67:G130" si="7">F67*5/1000</f>
        <v>1.13685375</v>
      </c>
      <c r="H67" s="20">
        <f>AVERAGE(D65:D67)</f>
        <v>4.1321900000000002E-2</v>
      </c>
      <c r="I67" s="20">
        <f>AVERAGE(E65:E67)</f>
        <v>3.0130966666666663</v>
      </c>
    </row>
    <row r="68" spans="1:9" x14ac:dyDescent="0.4">
      <c r="A68">
        <v>3</v>
      </c>
      <c r="B68" s="20">
        <v>3.4120599999999999</v>
      </c>
      <c r="C68" s="20">
        <f t="shared" si="5"/>
        <v>10.236179999999999</v>
      </c>
      <c r="D68" s="20">
        <f t="shared" si="6"/>
        <v>5.1180899999999994E-2</v>
      </c>
      <c r="E68" s="20">
        <v>3.5315300000000001</v>
      </c>
      <c r="F68" s="20">
        <f t="shared" si="4"/>
        <v>264.86475000000002</v>
      </c>
      <c r="G68" s="20">
        <f t="shared" si="7"/>
        <v>1.32432375</v>
      </c>
    </row>
    <row r="69" spans="1:9" x14ac:dyDescent="0.4">
      <c r="A69">
        <v>3</v>
      </c>
      <c r="B69" s="20">
        <v>3.5025499999999998</v>
      </c>
      <c r="C69" s="20">
        <f t="shared" si="5"/>
        <v>10.50765</v>
      </c>
      <c r="D69" s="20">
        <f t="shared" si="6"/>
        <v>5.2538249999999995E-2</v>
      </c>
      <c r="E69" s="20">
        <v>3.5495399999999999</v>
      </c>
      <c r="F69" s="20">
        <f t="shared" si="4"/>
        <v>266.21550000000002</v>
      </c>
      <c r="G69" s="20">
        <f t="shared" si="7"/>
        <v>1.3310775000000001</v>
      </c>
    </row>
    <row r="70" spans="1:9" x14ac:dyDescent="0.4">
      <c r="A70">
        <v>3</v>
      </c>
      <c r="B70" s="20">
        <v>3.4263499999999998</v>
      </c>
      <c r="C70" s="20">
        <f t="shared" si="5"/>
        <v>10.27905</v>
      </c>
      <c r="D70" s="20">
        <f t="shared" si="6"/>
        <v>5.1395249999999996E-2</v>
      </c>
      <c r="E70" s="20">
        <v>3.56155</v>
      </c>
      <c r="F70" s="20">
        <f t="shared" si="4"/>
        <v>267.11624999999998</v>
      </c>
      <c r="G70" s="20">
        <f t="shared" si="7"/>
        <v>1.3355812499999999</v>
      </c>
      <c r="H70" s="20">
        <f>AVERAGE(D68:D70)</f>
        <v>5.1704799999999995E-2</v>
      </c>
      <c r="I70" s="20">
        <f>AVERAGE(E68:E70)</f>
        <v>3.5475400000000001</v>
      </c>
    </row>
    <row r="71" spans="1:9" x14ac:dyDescent="0.4">
      <c r="A71">
        <v>4</v>
      </c>
      <c r="B71" s="20">
        <v>1.9546399999999999</v>
      </c>
      <c r="C71" s="20">
        <f t="shared" si="5"/>
        <v>5.8639200000000002</v>
      </c>
      <c r="D71" s="20">
        <f t="shared" si="6"/>
        <v>2.9319600000000001E-2</v>
      </c>
      <c r="E71" s="20">
        <v>1.8096099999999999</v>
      </c>
      <c r="F71" s="20">
        <f t="shared" si="4"/>
        <v>135.72075000000001</v>
      </c>
      <c r="G71" s="20">
        <f t="shared" si="7"/>
        <v>0.67860374999999995</v>
      </c>
    </row>
    <row r="72" spans="1:9" x14ac:dyDescent="0.4">
      <c r="A72">
        <v>4</v>
      </c>
      <c r="B72" s="20">
        <v>1.9070199999999999</v>
      </c>
      <c r="C72" s="20">
        <f t="shared" si="5"/>
        <v>5.7210599999999996</v>
      </c>
      <c r="D72" s="20">
        <f t="shared" si="6"/>
        <v>2.86053E-2</v>
      </c>
      <c r="E72" s="20">
        <v>1.8050999999999999</v>
      </c>
      <c r="F72" s="20">
        <f t="shared" si="4"/>
        <v>135.38249999999999</v>
      </c>
      <c r="G72" s="20">
        <f t="shared" si="7"/>
        <v>0.67691249999999992</v>
      </c>
    </row>
    <row r="73" spans="1:9" x14ac:dyDescent="0.4">
      <c r="A73">
        <v>4</v>
      </c>
      <c r="B73" s="20">
        <v>1.93083</v>
      </c>
      <c r="C73" s="20">
        <f t="shared" si="5"/>
        <v>5.7924899999999999</v>
      </c>
      <c r="D73" s="20">
        <f t="shared" si="6"/>
        <v>2.8962450000000001E-2</v>
      </c>
      <c r="E73" s="20">
        <v>1.8096099999999999</v>
      </c>
      <c r="F73" s="20">
        <f t="shared" si="4"/>
        <v>135.72075000000001</v>
      </c>
      <c r="G73" s="20">
        <f t="shared" si="7"/>
        <v>0.67860374999999995</v>
      </c>
      <c r="H73" s="20">
        <f>AVERAGE(D71:D73)</f>
        <v>2.8962450000000001E-2</v>
      </c>
      <c r="I73" s="20">
        <f>AVERAGE(E71:E73)</f>
        <v>1.8081066666666665</v>
      </c>
    </row>
    <row r="74" spans="1:9" x14ac:dyDescent="0.4">
      <c r="A74">
        <v>5</v>
      </c>
      <c r="B74" s="20">
        <v>1.7212700000000001</v>
      </c>
      <c r="C74" s="20">
        <f t="shared" si="5"/>
        <v>5.1638099999999998</v>
      </c>
      <c r="D74" s="20">
        <f t="shared" si="6"/>
        <v>2.5819049999999996E-2</v>
      </c>
      <c r="E74" s="20">
        <v>1.65198</v>
      </c>
      <c r="F74" s="20">
        <f t="shared" si="4"/>
        <v>123.8985</v>
      </c>
      <c r="G74" s="20">
        <f t="shared" si="7"/>
        <v>0.6194925</v>
      </c>
    </row>
    <row r="75" spans="1:9" x14ac:dyDescent="0.4">
      <c r="A75">
        <v>5</v>
      </c>
      <c r="B75" s="20">
        <v>1.8212900000000001</v>
      </c>
      <c r="C75" s="20">
        <f t="shared" si="5"/>
        <v>5.46387</v>
      </c>
      <c r="D75" s="20">
        <f t="shared" si="6"/>
        <v>2.7319349999999999E-2</v>
      </c>
      <c r="E75" s="20">
        <v>1.6549799999999999</v>
      </c>
      <c r="F75" s="20">
        <f t="shared" si="4"/>
        <v>124.12349999999999</v>
      </c>
      <c r="G75" s="20">
        <f t="shared" si="7"/>
        <v>0.62061749999999993</v>
      </c>
    </row>
    <row r="76" spans="1:9" x14ac:dyDescent="0.4">
      <c r="A76">
        <v>5</v>
      </c>
      <c r="B76" s="20">
        <v>1.81176</v>
      </c>
      <c r="C76" s="20">
        <f t="shared" si="5"/>
        <v>5.4352800000000006</v>
      </c>
      <c r="D76" s="20">
        <f t="shared" si="6"/>
        <v>2.71764E-2</v>
      </c>
      <c r="E76" s="20">
        <v>1.66849</v>
      </c>
      <c r="F76" s="20">
        <f t="shared" si="4"/>
        <v>125.13675000000001</v>
      </c>
      <c r="G76" s="20">
        <f t="shared" si="7"/>
        <v>0.62568374999999998</v>
      </c>
      <c r="H76" s="20">
        <f>AVERAGE(D74:D76)</f>
        <v>2.6771599999999996E-2</v>
      </c>
      <c r="I76" s="20">
        <f>AVERAGE(E74:E76)</f>
        <v>1.6584833333333335</v>
      </c>
    </row>
    <row r="77" spans="1:9" x14ac:dyDescent="0.4">
      <c r="A77">
        <v>6</v>
      </c>
      <c r="B77" s="20">
        <v>0.89729999999999999</v>
      </c>
      <c r="C77" s="20">
        <f t="shared" si="5"/>
        <v>2.6919</v>
      </c>
      <c r="D77" s="20">
        <f t="shared" si="6"/>
        <v>1.3459500000000001E-2</v>
      </c>
      <c r="E77" s="20">
        <v>0.92688000000000004</v>
      </c>
      <c r="F77" s="20">
        <f t="shared" si="4"/>
        <v>69.516000000000005</v>
      </c>
      <c r="G77" s="20">
        <f t="shared" si="7"/>
        <v>0.34758000000000006</v>
      </c>
    </row>
    <row r="78" spans="1:9" x14ac:dyDescent="0.4">
      <c r="A78">
        <v>6</v>
      </c>
      <c r="B78" s="20">
        <v>0.84967999999999999</v>
      </c>
      <c r="C78" s="20">
        <f t="shared" si="5"/>
        <v>2.5490399999999998</v>
      </c>
      <c r="D78" s="20">
        <f t="shared" si="6"/>
        <v>1.2745199999999998E-2</v>
      </c>
      <c r="E78" s="20">
        <v>0.92388000000000003</v>
      </c>
      <c r="F78" s="20">
        <f t="shared" si="4"/>
        <v>69.290999999999997</v>
      </c>
      <c r="G78" s="20">
        <f t="shared" si="7"/>
        <v>0.34645499999999996</v>
      </c>
    </row>
    <row r="79" spans="1:9" x14ac:dyDescent="0.4">
      <c r="A79">
        <v>6</v>
      </c>
      <c r="B79" s="20">
        <v>0.83062000000000002</v>
      </c>
      <c r="C79" s="20">
        <f t="shared" si="5"/>
        <v>2.49186</v>
      </c>
      <c r="D79" s="20">
        <f t="shared" si="6"/>
        <v>1.24593E-2</v>
      </c>
      <c r="E79" s="20">
        <v>0.93589</v>
      </c>
      <c r="F79" s="20">
        <f t="shared" si="4"/>
        <v>70.191749999999999</v>
      </c>
      <c r="G79" s="20">
        <f t="shared" si="7"/>
        <v>0.35095874999999999</v>
      </c>
      <c r="H79" s="20">
        <f>AVERAGE(D77:D79)</f>
        <v>1.2887999999999998E-2</v>
      </c>
      <c r="I79" s="20">
        <f>AVERAGE(E77:E79)</f>
        <v>0.92888333333333339</v>
      </c>
    </row>
    <row r="80" spans="1:9" x14ac:dyDescent="0.4">
      <c r="A80">
        <v>7</v>
      </c>
      <c r="B80" s="20">
        <v>1.15926</v>
      </c>
      <c r="C80" s="20">
        <f t="shared" si="5"/>
        <v>3.4777800000000001</v>
      </c>
      <c r="D80" s="20">
        <f t="shared" si="6"/>
        <v>1.7388899999999999E-2</v>
      </c>
      <c r="E80" s="20">
        <v>1.2271300000000001</v>
      </c>
      <c r="F80" s="20">
        <f t="shared" si="4"/>
        <v>92.034750000000003</v>
      </c>
      <c r="G80" s="20">
        <f t="shared" si="7"/>
        <v>0.46017375000000005</v>
      </c>
    </row>
    <row r="81" spans="1:9" x14ac:dyDescent="0.4">
      <c r="A81">
        <v>7</v>
      </c>
      <c r="B81" s="20">
        <v>1.1687799999999999</v>
      </c>
      <c r="C81" s="20">
        <f t="shared" si="5"/>
        <v>3.5063399999999998</v>
      </c>
      <c r="D81" s="20">
        <f t="shared" si="6"/>
        <v>1.7531700000000001E-2</v>
      </c>
      <c r="E81" s="20">
        <v>1.2271300000000001</v>
      </c>
      <c r="F81" s="20">
        <f t="shared" si="4"/>
        <v>92.034750000000003</v>
      </c>
      <c r="G81" s="20">
        <f t="shared" si="7"/>
        <v>0.46017375000000005</v>
      </c>
    </row>
    <row r="82" spans="1:9" x14ac:dyDescent="0.4">
      <c r="A82">
        <v>7</v>
      </c>
      <c r="B82" s="20">
        <v>1.15926</v>
      </c>
      <c r="C82" s="20">
        <f t="shared" si="5"/>
        <v>3.4777800000000001</v>
      </c>
      <c r="D82" s="20">
        <f t="shared" si="6"/>
        <v>1.7388899999999999E-2</v>
      </c>
      <c r="E82" s="20">
        <v>1.22262</v>
      </c>
      <c r="F82" s="20">
        <f t="shared" si="4"/>
        <v>91.6965</v>
      </c>
      <c r="G82" s="20">
        <f t="shared" si="7"/>
        <v>0.45848250000000002</v>
      </c>
      <c r="H82" s="20">
        <f>AVERAGE(D80:D82)</f>
        <v>1.7436499999999997E-2</v>
      </c>
      <c r="I82" s="20">
        <f>AVERAGE(E80:E82)</f>
        <v>1.2256266666666666</v>
      </c>
    </row>
    <row r="83" spans="1:9" x14ac:dyDescent="0.4">
      <c r="A83">
        <v>8</v>
      </c>
      <c r="B83" s="20">
        <v>0.92112000000000005</v>
      </c>
      <c r="C83" s="20">
        <f t="shared" si="5"/>
        <v>2.76336</v>
      </c>
      <c r="D83" s="20">
        <f t="shared" si="6"/>
        <v>1.3816800000000001E-2</v>
      </c>
      <c r="E83" s="20">
        <v>1.20611</v>
      </c>
      <c r="F83" s="20">
        <f t="shared" si="4"/>
        <v>90.458250000000007</v>
      </c>
      <c r="G83" s="20">
        <f t="shared" si="7"/>
        <v>0.45229125000000003</v>
      </c>
    </row>
    <row r="84" spans="1:9" x14ac:dyDescent="0.4">
      <c r="A84">
        <v>8</v>
      </c>
      <c r="B84" s="20">
        <v>0.93064000000000002</v>
      </c>
      <c r="C84" s="20">
        <f t="shared" si="5"/>
        <v>2.7919200000000002</v>
      </c>
      <c r="D84" s="20">
        <f t="shared" si="6"/>
        <v>1.3959600000000003E-2</v>
      </c>
      <c r="E84" s="20">
        <v>1.2271300000000001</v>
      </c>
      <c r="F84" s="20">
        <f t="shared" si="4"/>
        <v>92.034750000000003</v>
      </c>
      <c r="G84" s="20">
        <f t="shared" si="7"/>
        <v>0.46017375000000005</v>
      </c>
    </row>
    <row r="85" spans="1:9" x14ac:dyDescent="0.4">
      <c r="A85">
        <v>8</v>
      </c>
      <c r="B85" s="20">
        <v>0.91159000000000001</v>
      </c>
      <c r="C85" s="20">
        <f t="shared" si="5"/>
        <v>2.7347700000000001</v>
      </c>
      <c r="D85" s="20">
        <f t="shared" si="6"/>
        <v>1.3673850000000001E-2</v>
      </c>
      <c r="E85" s="20">
        <v>1.2301299999999999</v>
      </c>
      <c r="F85" s="20">
        <f t="shared" si="4"/>
        <v>92.259749999999997</v>
      </c>
      <c r="G85" s="20">
        <f t="shared" si="7"/>
        <v>0.46129874999999998</v>
      </c>
      <c r="H85" s="20">
        <f>AVERAGE(D83:D85)</f>
        <v>1.3816750000000003E-2</v>
      </c>
      <c r="I85" s="20">
        <f>AVERAGE(E83:E85)</f>
        <v>1.2211233333333333</v>
      </c>
    </row>
    <row r="86" spans="1:9" x14ac:dyDescent="0.4">
      <c r="A86">
        <v>9</v>
      </c>
      <c r="B86" s="20">
        <v>1.2402200000000001</v>
      </c>
      <c r="C86" s="20">
        <f t="shared" si="5"/>
        <v>3.7206600000000005</v>
      </c>
      <c r="D86" s="20">
        <f t="shared" si="6"/>
        <v>1.8603300000000003E-2</v>
      </c>
      <c r="E86" s="20">
        <v>1.64147</v>
      </c>
      <c r="F86" s="20">
        <f t="shared" si="4"/>
        <v>123.11024999999999</v>
      </c>
      <c r="G86" s="20">
        <f t="shared" si="7"/>
        <v>0.61555124999999999</v>
      </c>
    </row>
    <row r="87" spans="1:9" x14ac:dyDescent="0.4">
      <c r="A87">
        <v>9</v>
      </c>
      <c r="B87" s="20">
        <v>1.1830700000000001</v>
      </c>
      <c r="C87" s="20">
        <f t="shared" si="5"/>
        <v>3.5492100000000004</v>
      </c>
      <c r="D87" s="20">
        <f t="shared" si="6"/>
        <v>1.7746050000000003E-2</v>
      </c>
      <c r="E87" s="20">
        <v>1.64147</v>
      </c>
      <c r="F87" s="20">
        <f t="shared" si="4"/>
        <v>123.11024999999999</v>
      </c>
      <c r="G87" s="20">
        <f t="shared" si="7"/>
        <v>0.61555124999999999</v>
      </c>
    </row>
    <row r="88" spans="1:9" x14ac:dyDescent="0.4">
      <c r="A88">
        <v>9</v>
      </c>
      <c r="B88" s="20">
        <v>1.20689</v>
      </c>
      <c r="C88" s="20">
        <f t="shared" si="5"/>
        <v>3.6206700000000001</v>
      </c>
      <c r="D88" s="20">
        <f t="shared" si="6"/>
        <v>1.8103349999999997E-2</v>
      </c>
      <c r="E88" s="20">
        <v>1.64147</v>
      </c>
      <c r="F88" s="20">
        <f t="shared" si="4"/>
        <v>123.11024999999999</v>
      </c>
      <c r="G88" s="20">
        <f t="shared" si="7"/>
        <v>0.61555124999999999</v>
      </c>
      <c r="H88" s="20">
        <f>AVERAGE(D86:D88)</f>
        <v>1.8150900000000001E-2</v>
      </c>
      <c r="I88" s="20">
        <f>AVERAGE(E86:E88)</f>
        <v>1.64147</v>
      </c>
    </row>
    <row r="89" spans="1:9" x14ac:dyDescent="0.4">
      <c r="A89">
        <v>11</v>
      </c>
      <c r="B89" s="20">
        <v>1.2640400000000001</v>
      </c>
      <c r="C89" s="20">
        <f t="shared" si="5"/>
        <v>3.7921200000000002</v>
      </c>
      <c r="D89" s="20">
        <f t="shared" si="6"/>
        <v>1.8960600000000001E-2</v>
      </c>
      <c r="E89" s="20">
        <v>1.98075</v>
      </c>
      <c r="F89" s="20">
        <f t="shared" si="4"/>
        <v>148.55625000000001</v>
      </c>
      <c r="G89" s="20">
        <f t="shared" si="7"/>
        <v>0.74278124999999995</v>
      </c>
    </row>
    <row r="90" spans="1:9" x14ac:dyDescent="0.4">
      <c r="A90">
        <v>11</v>
      </c>
      <c r="B90" s="20">
        <v>1.3497699999999999</v>
      </c>
      <c r="C90" s="20">
        <f t="shared" si="5"/>
        <v>4.0493100000000002</v>
      </c>
      <c r="D90" s="20">
        <f t="shared" si="6"/>
        <v>2.0246549999999999E-2</v>
      </c>
      <c r="E90" s="20">
        <v>1.97624</v>
      </c>
      <c r="F90" s="20">
        <f t="shared" si="4"/>
        <v>148.21799999999999</v>
      </c>
      <c r="G90" s="20">
        <f t="shared" si="7"/>
        <v>0.74108999999999992</v>
      </c>
    </row>
    <row r="91" spans="1:9" x14ac:dyDescent="0.4">
      <c r="A91">
        <v>11</v>
      </c>
      <c r="B91" s="20">
        <v>1.33548</v>
      </c>
      <c r="C91" s="20">
        <f t="shared" si="5"/>
        <v>4.0064399999999996</v>
      </c>
      <c r="D91" s="20">
        <f t="shared" si="6"/>
        <v>2.0032199999999997E-2</v>
      </c>
      <c r="E91" s="20">
        <v>2.0047700000000002</v>
      </c>
      <c r="F91" s="20">
        <f t="shared" si="4"/>
        <v>150.35775000000001</v>
      </c>
      <c r="G91" s="20">
        <f t="shared" si="7"/>
        <v>0.75178875000000001</v>
      </c>
      <c r="H91" s="20">
        <f>AVERAGE(D89:D91)</f>
        <v>1.9746449999999999E-2</v>
      </c>
      <c r="I91" s="20">
        <f>AVERAGE(E89:E91)</f>
        <v>1.9872533333333333</v>
      </c>
    </row>
    <row r="92" spans="1:9" x14ac:dyDescent="0.4">
      <c r="A92">
        <v>12</v>
      </c>
      <c r="B92" s="20">
        <v>1.2306999999999999</v>
      </c>
      <c r="C92" s="20">
        <f t="shared" si="5"/>
        <v>3.6920999999999999</v>
      </c>
      <c r="D92" s="20">
        <f t="shared" si="6"/>
        <v>1.8460500000000001E-2</v>
      </c>
      <c r="E92" s="20">
        <v>1.8006</v>
      </c>
      <c r="F92" s="20">
        <f t="shared" si="4"/>
        <v>135.04499999999999</v>
      </c>
      <c r="G92" s="20">
        <f t="shared" si="7"/>
        <v>0.67522499999999996</v>
      </c>
    </row>
    <row r="93" spans="1:9" x14ac:dyDescent="0.4">
      <c r="A93">
        <v>12</v>
      </c>
      <c r="B93" s="20">
        <v>1.27833</v>
      </c>
      <c r="C93" s="20">
        <f t="shared" si="5"/>
        <v>3.8349899999999999</v>
      </c>
      <c r="D93" s="20">
        <f t="shared" si="6"/>
        <v>1.917495E-2</v>
      </c>
      <c r="E93" s="20">
        <v>1.79159</v>
      </c>
      <c r="F93" s="20">
        <f t="shared" si="4"/>
        <v>134.36924999999999</v>
      </c>
      <c r="G93" s="20">
        <f t="shared" si="7"/>
        <v>0.67184624999999998</v>
      </c>
    </row>
    <row r="94" spans="1:9" x14ac:dyDescent="0.4">
      <c r="A94">
        <v>12</v>
      </c>
      <c r="B94" s="20">
        <v>1.25451</v>
      </c>
      <c r="C94" s="20">
        <f t="shared" si="5"/>
        <v>3.7635300000000003</v>
      </c>
      <c r="D94" s="20">
        <f t="shared" si="6"/>
        <v>1.8817650000000002E-2</v>
      </c>
      <c r="E94" s="20">
        <v>1.8141099999999999</v>
      </c>
      <c r="F94" s="20">
        <f t="shared" si="4"/>
        <v>136.05824999999999</v>
      </c>
      <c r="G94" s="20">
        <f t="shared" si="7"/>
        <v>0.68029125000000001</v>
      </c>
      <c r="H94" s="20">
        <f>AVERAGE(D92:D94)</f>
        <v>1.8817700000000003E-2</v>
      </c>
      <c r="I94" s="20">
        <f>AVERAGE(E92:E94)</f>
        <v>1.8021</v>
      </c>
    </row>
    <row r="95" spans="1:9" x14ac:dyDescent="0.4">
      <c r="A95">
        <v>13</v>
      </c>
      <c r="B95" s="20">
        <v>2.2547000000000001</v>
      </c>
      <c r="C95" s="20">
        <f t="shared" si="5"/>
        <v>6.7641000000000009</v>
      </c>
      <c r="D95" s="20">
        <f t="shared" si="6"/>
        <v>3.3820500000000003E-2</v>
      </c>
      <c r="E95" s="20">
        <v>3.8738100000000002</v>
      </c>
      <c r="F95" s="20">
        <f t="shared" si="4"/>
        <v>290.53575000000001</v>
      </c>
      <c r="G95" s="20">
        <f t="shared" si="7"/>
        <v>1.45267875</v>
      </c>
    </row>
    <row r="96" spans="1:9" x14ac:dyDescent="0.4">
      <c r="A96">
        <v>13</v>
      </c>
      <c r="B96" s="20">
        <v>2.2547000000000001</v>
      </c>
      <c r="C96" s="20">
        <f t="shared" si="5"/>
        <v>6.7641000000000009</v>
      </c>
      <c r="D96" s="20">
        <f t="shared" si="6"/>
        <v>3.3820500000000003E-2</v>
      </c>
      <c r="E96" s="20">
        <v>3.81826</v>
      </c>
      <c r="F96" s="20">
        <f t="shared" si="4"/>
        <v>286.36950000000002</v>
      </c>
      <c r="G96" s="20">
        <f t="shared" si="7"/>
        <v>1.4318475000000002</v>
      </c>
    </row>
    <row r="97" spans="1:9" x14ac:dyDescent="0.4">
      <c r="A97">
        <v>13</v>
      </c>
      <c r="B97" s="20">
        <v>2.2547000000000001</v>
      </c>
      <c r="C97" s="20">
        <f t="shared" si="5"/>
        <v>6.7641000000000009</v>
      </c>
      <c r="D97" s="20">
        <f t="shared" si="6"/>
        <v>3.3820500000000003E-2</v>
      </c>
      <c r="E97" s="20">
        <v>3.8242699999999998</v>
      </c>
      <c r="F97" s="20">
        <f t="shared" si="4"/>
        <v>286.82024999999999</v>
      </c>
      <c r="G97" s="20">
        <f t="shared" si="7"/>
        <v>1.4341012499999999</v>
      </c>
      <c r="H97" s="20">
        <f>AVERAGE(D95:D97)</f>
        <v>3.3820500000000003E-2</v>
      </c>
      <c r="I97" s="20">
        <f>AVERAGE(E95:E97)</f>
        <v>3.8387799999999999</v>
      </c>
    </row>
    <row r="98" spans="1:9" x14ac:dyDescent="0.4">
      <c r="A98">
        <v>14</v>
      </c>
      <c r="B98" s="20">
        <v>1.1021000000000001</v>
      </c>
      <c r="C98" s="20">
        <f t="shared" si="5"/>
        <v>3.3063000000000002</v>
      </c>
      <c r="D98" s="20">
        <f t="shared" si="6"/>
        <v>1.6531500000000001E-2</v>
      </c>
      <c r="E98" s="20">
        <v>1.1355500000000001</v>
      </c>
      <c r="F98" s="20">
        <f t="shared" si="4"/>
        <v>85.166250000000005</v>
      </c>
      <c r="G98" s="20">
        <f t="shared" si="7"/>
        <v>0.42583124999999999</v>
      </c>
    </row>
    <row r="99" spans="1:9" x14ac:dyDescent="0.4">
      <c r="A99">
        <v>14</v>
      </c>
      <c r="B99" s="20">
        <v>1.13544</v>
      </c>
      <c r="C99" s="20">
        <f t="shared" si="5"/>
        <v>3.40632</v>
      </c>
      <c r="D99" s="20">
        <f t="shared" si="6"/>
        <v>1.7031600000000001E-2</v>
      </c>
      <c r="E99" s="20">
        <v>1.14005</v>
      </c>
      <c r="F99" s="20">
        <f t="shared" si="4"/>
        <v>85.503749999999997</v>
      </c>
      <c r="G99" s="20">
        <f t="shared" si="7"/>
        <v>0.42751874999999995</v>
      </c>
    </row>
    <row r="100" spans="1:9" x14ac:dyDescent="0.4">
      <c r="A100">
        <v>14</v>
      </c>
      <c r="B100" s="20">
        <v>1.13544</v>
      </c>
      <c r="C100" s="20">
        <f t="shared" si="5"/>
        <v>3.40632</v>
      </c>
      <c r="D100" s="20">
        <f t="shared" si="6"/>
        <v>1.7031600000000001E-2</v>
      </c>
      <c r="E100" s="20">
        <v>1.1310500000000001</v>
      </c>
      <c r="F100" s="20">
        <f t="shared" si="4"/>
        <v>84.828750000000014</v>
      </c>
      <c r="G100" s="20">
        <f t="shared" si="7"/>
        <v>0.42414375000000004</v>
      </c>
      <c r="H100" s="20">
        <f>AVERAGE(D98:D100)</f>
        <v>1.6864899999999999E-2</v>
      </c>
      <c r="I100" s="20">
        <f>AVERAGE(E98:E100)</f>
        <v>1.1355500000000001</v>
      </c>
    </row>
    <row r="101" spans="1:9" x14ac:dyDescent="0.4">
      <c r="A101">
        <v>15</v>
      </c>
      <c r="B101" s="20">
        <v>2.2928000000000002</v>
      </c>
      <c r="C101" s="20">
        <f t="shared" si="5"/>
        <v>6.878400000000001</v>
      </c>
      <c r="D101" s="20">
        <f t="shared" si="6"/>
        <v>3.4392000000000006E-2</v>
      </c>
      <c r="E101" s="20">
        <v>2.7658900000000002</v>
      </c>
      <c r="F101" s="20">
        <f t="shared" si="4"/>
        <v>207.44175000000001</v>
      </c>
      <c r="G101" s="20">
        <f t="shared" si="7"/>
        <v>1.03720875</v>
      </c>
    </row>
    <row r="102" spans="1:9" x14ac:dyDescent="0.4">
      <c r="A102">
        <v>15</v>
      </c>
      <c r="B102" s="20">
        <v>2.3451900000000001</v>
      </c>
      <c r="C102" s="20">
        <f t="shared" si="5"/>
        <v>7.0355699999999999</v>
      </c>
      <c r="D102" s="20">
        <f t="shared" si="6"/>
        <v>3.5177849999999997E-2</v>
      </c>
      <c r="E102" s="20">
        <v>2.7658900000000002</v>
      </c>
      <c r="F102" s="20">
        <f t="shared" si="4"/>
        <v>207.44175000000001</v>
      </c>
      <c r="G102" s="20">
        <f t="shared" si="7"/>
        <v>1.03720875</v>
      </c>
    </row>
    <row r="103" spans="1:9" x14ac:dyDescent="0.4">
      <c r="A103">
        <v>15</v>
      </c>
      <c r="B103" s="20">
        <v>2.3547199999999999</v>
      </c>
      <c r="C103" s="20">
        <f t="shared" si="5"/>
        <v>7.0641599999999993</v>
      </c>
      <c r="D103" s="20">
        <f t="shared" si="6"/>
        <v>3.5320799999999999E-2</v>
      </c>
      <c r="E103" s="20">
        <v>2.7448800000000002</v>
      </c>
      <c r="F103" s="20">
        <f t="shared" si="4"/>
        <v>205.86600000000001</v>
      </c>
      <c r="G103" s="20">
        <f t="shared" si="7"/>
        <v>1.0293300000000001</v>
      </c>
      <c r="H103" s="20">
        <f>AVERAGE(D101:D103)</f>
        <v>3.4963550000000003E-2</v>
      </c>
      <c r="I103" s="20">
        <f>AVERAGE(E101:E103)</f>
        <v>2.7588866666666667</v>
      </c>
    </row>
    <row r="104" spans="1:9" x14ac:dyDescent="0.4">
      <c r="A104">
        <v>16</v>
      </c>
      <c r="B104" s="20">
        <v>2.2785099999999998</v>
      </c>
      <c r="C104" s="20">
        <f t="shared" si="5"/>
        <v>6.8355299999999994</v>
      </c>
      <c r="D104" s="20">
        <f t="shared" si="6"/>
        <v>3.4177649999999997E-2</v>
      </c>
      <c r="E104" s="20">
        <v>2.7448800000000002</v>
      </c>
      <c r="F104" s="20">
        <f t="shared" si="4"/>
        <v>205.86600000000001</v>
      </c>
      <c r="G104" s="20">
        <f t="shared" si="7"/>
        <v>1.0293300000000001</v>
      </c>
    </row>
    <row r="105" spans="1:9" x14ac:dyDescent="0.4">
      <c r="A105">
        <v>16</v>
      </c>
      <c r="B105" s="20">
        <v>2.2166000000000001</v>
      </c>
      <c r="C105" s="20">
        <f t="shared" si="5"/>
        <v>6.6498000000000008</v>
      </c>
      <c r="D105" s="20">
        <f t="shared" si="6"/>
        <v>3.3249000000000001E-2</v>
      </c>
      <c r="E105" s="20">
        <v>2.7719</v>
      </c>
      <c r="F105" s="20">
        <f t="shared" si="4"/>
        <v>207.89250000000001</v>
      </c>
      <c r="G105" s="20">
        <f t="shared" si="7"/>
        <v>1.0394625000000002</v>
      </c>
    </row>
    <row r="106" spans="1:9" x14ac:dyDescent="0.4">
      <c r="A106">
        <v>16</v>
      </c>
      <c r="B106" s="20">
        <v>2.1785000000000001</v>
      </c>
      <c r="C106" s="20">
        <f t="shared" si="5"/>
        <v>6.5355000000000008</v>
      </c>
      <c r="D106" s="20">
        <f t="shared" si="6"/>
        <v>3.2677500000000005E-2</v>
      </c>
      <c r="E106" s="20">
        <v>2.7704</v>
      </c>
      <c r="F106" s="20">
        <f t="shared" si="4"/>
        <v>207.78</v>
      </c>
      <c r="G106" s="20">
        <f t="shared" si="7"/>
        <v>1.0389000000000002</v>
      </c>
      <c r="H106" s="20">
        <f>AVERAGE(D104:D106)</f>
        <v>3.3368050000000003E-2</v>
      </c>
      <c r="I106" s="20">
        <f>AVERAGE(E104:E106)</f>
        <v>2.7623933333333337</v>
      </c>
    </row>
    <row r="107" spans="1:9" x14ac:dyDescent="0.4">
      <c r="A107">
        <v>17</v>
      </c>
      <c r="B107" s="20">
        <v>2.2404099999999998</v>
      </c>
      <c r="C107" s="20">
        <f t="shared" si="5"/>
        <v>6.7212299999999994</v>
      </c>
      <c r="D107" s="20">
        <f t="shared" si="6"/>
        <v>3.3606150000000001E-2</v>
      </c>
      <c r="E107" s="20">
        <v>2.3635600000000001</v>
      </c>
      <c r="F107" s="20">
        <f t="shared" si="4"/>
        <v>177.267</v>
      </c>
      <c r="G107" s="20">
        <f t="shared" si="7"/>
        <v>0.88633499999999998</v>
      </c>
    </row>
    <row r="108" spans="1:9" x14ac:dyDescent="0.4">
      <c r="A108">
        <v>17</v>
      </c>
      <c r="B108" s="20">
        <v>2.2166000000000001</v>
      </c>
      <c r="C108" s="20">
        <f t="shared" si="5"/>
        <v>6.6498000000000008</v>
      </c>
      <c r="D108" s="20">
        <f t="shared" si="6"/>
        <v>3.3249000000000001E-2</v>
      </c>
      <c r="E108" s="20">
        <v>2.3455499999999998</v>
      </c>
      <c r="F108" s="20">
        <f t="shared" si="4"/>
        <v>175.91624999999999</v>
      </c>
      <c r="G108" s="20">
        <f t="shared" si="7"/>
        <v>0.87958124999999998</v>
      </c>
    </row>
    <row r="109" spans="1:9" x14ac:dyDescent="0.4">
      <c r="A109">
        <v>17</v>
      </c>
      <c r="B109" s="20">
        <v>2.2070699999999999</v>
      </c>
      <c r="C109" s="20">
        <f t="shared" si="5"/>
        <v>6.6212099999999996</v>
      </c>
      <c r="D109" s="20">
        <f t="shared" si="6"/>
        <v>3.3106049999999998E-2</v>
      </c>
      <c r="E109" s="20">
        <v>2.3440500000000002</v>
      </c>
      <c r="F109" s="20">
        <f t="shared" si="4"/>
        <v>175.80375000000001</v>
      </c>
      <c r="G109" s="20">
        <f t="shared" si="7"/>
        <v>0.87901875000000007</v>
      </c>
      <c r="H109" s="20">
        <f>AVERAGE(D107:D109)</f>
        <v>3.33204E-2</v>
      </c>
      <c r="I109" s="20">
        <f>AVERAGE(E107:E109)</f>
        <v>2.3510533333333332</v>
      </c>
    </row>
    <row r="110" spans="1:9" x14ac:dyDescent="0.4">
      <c r="A110">
        <v>18</v>
      </c>
      <c r="B110" s="20">
        <v>1.4783599999999999</v>
      </c>
      <c r="C110" s="20">
        <f t="shared" si="5"/>
        <v>4.4350799999999992</v>
      </c>
      <c r="D110" s="20">
        <f t="shared" si="6"/>
        <v>2.2175399999999998E-2</v>
      </c>
      <c r="E110" s="20">
        <v>1.4402999999999999</v>
      </c>
      <c r="F110" s="20">
        <f t="shared" si="4"/>
        <v>108.02249999999999</v>
      </c>
      <c r="G110" s="20">
        <f t="shared" si="7"/>
        <v>0.5401125</v>
      </c>
    </row>
    <row r="111" spans="1:9" x14ac:dyDescent="0.4">
      <c r="A111">
        <v>18</v>
      </c>
      <c r="B111" s="20">
        <v>1.49265</v>
      </c>
      <c r="C111" s="20">
        <f t="shared" si="5"/>
        <v>4.4779499999999999</v>
      </c>
      <c r="D111" s="20">
        <f t="shared" si="6"/>
        <v>2.238975E-2</v>
      </c>
      <c r="E111" s="20">
        <v>1.4703299999999999</v>
      </c>
      <c r="F111" s="20">
        <f t="shared" si="4"/>
        <v>110.27475</v>
      </c>
      <c r="G111" s="20">
        <f t="shared" si="7"/>
        <v>0.55137375</v>
      </c>
    </row>
    <row r="112" spans="1:9" x14ac:dyDescent="0.4">
      <c r="A112">
        <v>18</v>
      </c>
      <c r="B112" s="20">
        <v>1.5402800000000001</v>
      </c>
      <c r="C112" s="20">
        <f t="shared" si="5"/>
        <v>4.6208400000000003</v>
      </c>
      <c r="D112" s="20">
        <f t="shared" si="6"/>
        <v>2.3104200000000002E-2</v>
      </c>
      <c r="E112" s="20">
        <v>1.46132</v>
      </c>
      <c r="F112" s="20">
        <f t="shared" si="4"/>
        <v>109.59899999999999</v>
      </c>
      <c r="G112" s="20">
        <f t="shared" si="7"/>
        <v>0.5479949999999999</v>
      </c>
      <c r="H112" s="20">
        <f>AVERAGE(D110:D112)</f>
        <v>2.2556450000000002E-2</v>
      </c>
      <c r="I112" s="20">
        <f>AVERAGE(E110:E112)</f>
        <v>1.4573166666666666</v>
      </c>
    </row>
    <row r="113" spans="1:9" x14ac:dyDescent="0.4">
      <c r="A113">
        <v>19</v>
      </c>
      <c r="B113" s="20">
        <v>1.1830700000000001</v>
      </c>
      <c r="C113" s="20">
        <f t="shared" si="5"/>
        <v>3.5492100000000004</v>
      </c>
      <c r="D113" s="20">
        <f t="shared" si="6"/>
        <v>1.7746050000000003E-2</v>
      </c>
      <c r="E113" s="20">
        <v>0.95089999999999997</v>
      </c>
      <c r="F113" s="20">
        <f t="shared" si="4"/>
        <v>71.317499999999995</v>
      </c>
      <c r="G113" s="20">
        <f t="shared" si="7"/>
        <v>0.3565875</v>
      </c>
    </row>
    <row r="114" spans="1:9" x14ac:dyDescent="0.4">
      <c r="A114">
        <v>19</v>
      </c>
      <c r="B114" s="20">
        <v>1.1926000000000001</v>
      </c>
      <c r="C114" s="20">
        <f t="shared" si="5"/>
        <v>3.5778000000000003</v>
      </c>
      <c r="D114" s="20">
        <f t="shared" si="6"/>
        <v>1.7889000000000002E-2</v>
      </c>
      <c r="E114" s="20">
        <v>0.95991000000000004</v>
      </c>
      <c r="F114" s="20">
        <f t="shared" si="4"/>
        <v>71.993250000000003</v>
      </c>
      <c r="G114" s="20">
        <f t="shared" si="7"/>
        <v>0.35996624999999999</v>
      </c>
    </row>
    <row r="115" spans="1:9" x14ac:dyDescent="0.4">
      <c r="A115">
        <v>19</v>
      </c>
      <c r="B115" s="20">
        <v>1.15926</v>
      </c>
      <c r="C115" s="20">
        <f t="shared" si="5"/>
        <v>3.4777800000000001</v>
      </c>
      <c r="D115" s="20">
        <f t="shared" si="6"/>
        <v>1.7388899999999999E-2</v>
      </c>
      <c r="E115" s="20">
        <v>0.95089999999999997</v>
      </c>
      <c r="F115" s="20">
        <f t="shared" si="4"/>
        <v>71.317499999999995</v>
      </c>
      <c r="G115" s="20">
        <f t="shared" si="7"/>
        <v>0.3565875</v>
      </c>
      <c r="H115" s="20">
        <f>AVERAGE(D113:D115)</f>
        <v>1.767465E-2</v>
      </c>
      <c r="I115" s="20">
        <f>AVERAGE(E113:E115)</f>
        <v>0.95390333333333333</v>
      </c>
    </row>
    <row r="116" spans="1:9" x14ac:dyDescent="0.4">
      <c r="A116">
        <v>21</v>
      </c>
      <c r="B116" s="20">
        <v>1.01637</v>
      </c>
      <c r="C116" s="20">
        <f t="shared" si="5"/>
        <v>3.0491099999999998</v>
      </c>
      <c r="D116" s="20">
        <f t="shared" si="6"/>
        <v>1.5245549999999998E-2</v>
      </c>
      <c r="E116" s="20">
        <v>1.5363800000000001</v>
      </c>
      <c r="F116" s="20">
        <f t="shared" si="4"/>
        <v>115.22850000000001</v>
      </c>
      <c r="G116" s="20">
        <f t="shared" si="7"/>
        <v>0.5761425</v>
      </c>
    </row>
    <row r="117" spans="1:9" x14ac:dyDescent="0.4">
      <c r="A117">
        <v>21</v>
      </c>
      <c r="B117" s="20">
        <v>1.0401899999999999</v>
      </c>
      <c r="C117" s="20">
        <f t="shared" si="5"/>
        <v>3.1205699999999998</v>
      </c>
      <c r="D117" s="20">
        <f t="shared" si="6"/>
        <v>1.560285E-2</v>
      </c>
      <c r="E117" s="20">
        <v>1.54389</v>
      </c>
      <c r="F117" s="20">
        <f t="shared" si="4"/>
        <v>115.79174999999999</v>
      </c>
      <c r="G117" s="20">
        <f t="shared" si="7"/>
        <v>0.57895874999999997</v>
      </c>
    </row>
    <row r="118" spans="1:9" x14ac:dyDescent="0.4">
      <c r="A118">
        <v>21</v>
      </c>
      <c r="B118" s="20">
        <v>1.01637</v>
      </c>
      <c r="C118" s="20">
        <f t="shared" si="5"/>
        <v>3.0491099999999998</v>
      </c>
      <c r="D118" s="20">
        <f t="shared" si="6"/>
        <v>1.5245549999999998E-2</v>
      </c>
      <c r="E118" s="20">
        <v>1.54989</v>
      </c>
      <c r="F118" s="20">
        <f t="shared" si="4"/>
        <v>116.24175</v>
      </c>
      <c r="G118" s="20">
        <f t="shared" si="7"/>
        <v>0.58120875000000005</v>
      </c>
      <c r="H118" s="20">
        <f>AVERAGE(D116:D118)</f>
        <v>1.5364649999999999E-2</v>
      </c>
      <c r="I118" s="20">
        <f>AVERAGE(E116:E118)</f>
        <v>1.5433866666666667</v>
      </c>
    </row>
    <row r="119" spans="1:9" x14ac:dyDescent="0.4">
      <c r="A119">
        <v>22</v>
      </c>
      <c r="B119" s="20">
        <v>0.84014999999999995</v>
      </c>
      <c r="C119" s="20">
        <f t="shared" si="5"/>
        <v>2.5204499999999999</v>
      </c>
      <c r="D119" s="20">
        <f t="shared" si="6"/>
        <v>1.2602249999999999E-2</v>
      </c>
      <c r="E119" s="20">
        <v>1.37124</v>
      </c>
      <c r="F119" s="20">
        <f t="shared" si="4"/>
        <v>102.843</v>
      </c>
      <c r="G119" s="20">
        <f t="shared" si="7"/>
        <v>0.51421499999999998</v>
      </c>
    </row>
    <row r="120" spans="1:9" x14ac:dyDescent="0.4">
      <c r="A120">
        <v>22</v>
      </c>
      <c r="B120" s="20">
        <v>0.84967999999999999</v>
      </c>
      <c r="C120" s="20">
        <f t="shared" si="5"/>
        <v>2.5490399999999998</v>
      </c>
      <c r="D120" s="20">
        <f t="shared" si="6"/>
        <v>1.2745199999999998E-2</v>
      </c>
      <c r="E120" s="20">
        <v>1.3622399999999999</v>
      </c>
      <c r="F120" s="20">
        <f t="shared" si="4"/>
        <v>102.16799999999999</v>
      </c>
      <c r="G120" s="20">
        <f t="shared" si="7"/>
        <v>0.51083999999999996</v>
      </c>
    </row>
    <row r="121" spans="1:9" x14ac:dyDescent="0.4">
      <c r="A121">
        <v>22</v>
      </c>
      <c r="B121" s="20">
        <v>0.86395999999999995</v>
      </c>
      <c r="C121" s="20">
        <f t="shared" si="5"/>
        <v>2.5918799999999997</v>
      </c>
      <c r="D121" s="20">
        <f t="shared" si="6"/>
        <v>1.2959399999999999E-2</v>
      </c>
      <c r="E121" s="20">
        <v>1.37425</v>
      </c>
      <c r="F121" s="20">
        <f t="shared" si="4"/>
        <v>103.06874999999999</v>
      </c>
      <c r="G121" s="20">
        <f t="shared" si="7"/>
        <v>0.51534374999999999</v>
      </c>
      <c r="H121" s="20">
        <f>AVERAGE(D119:D121)</f>
        <v>1.2768949999999999E-2</v>
      </c>
      <c r="I121" s="20">
        <f>AVERAGE(E119:E121)</f>
        <v>1.3692433333333334</v>
      </c>
    </row>
    <row r="122" spans="1:9" x14ac:dyDescent="0.4">
      <c r="A122">
        <v>23</v>
      </c>
      <c r="B122" s="20">
        <v>0.84014999999999995</v>
      </c>
      <c r="C122" s="20">
        <f t="shared" si="5"/>
        <v>2.5204499999999999</v>
      </c>
      <c r="D122" s="20">
        <f t="shared" si="6"/>
        <v>1.2602249999999999E-2</v>
      </c>
      <c r="E122" s="20">
        <v>1.08901</v>
      </c>
      <c r="F122" s="20">
        <f t="shared" si="4"/>
        <v>81.675750000000008</v>
      </c>
      <c r="G122" s="20">
        <f t="shared" si="7"/>
        <v>0.40837875000000001</v>
      </c>
    </row>
    <row r="123" spans="1:9" x14ac:dyDescent="0.4">
      <c r="A123">
        <v>23</v>
      </c>
      <c r="B123" s="20">
        <v>0.86395999999999995</v>
      </c>
      <c r="C123" s="20">
        <f t="shared" si="5"/>
        <v>2.5918799999999997</v>
      </c>
      <c r="D123" s="20">
        <f t="shared" si="6"/>
        <v>1.2959399999999999E-2</v>
      </c>
      <c r="E123" s="20">
        <v>1.0860099999999999</v>
      </c>
      <c r="F123" s="20">
        <f t="shared" si="4"/>
        <v>81.450749999999999</v>
      </c>
      <c r="G123" s="20">
        <f t="shared" si="7"/>
        <v>0.40725374999999997</v>
      </c>
    </row>
    <row r="124" spans="1:9" x14ac:dyDescent="0.4">
      <c r="A124">
        <v>23</v>
      </c>
      <c r="B124" s="20">
        <v>0.85443999999999998</v>
      </c>
      <c r="C124" s="20">
        <f t="shared" si="5"/>
        <v>2.56332</v>
      </c>
      <c r="D124" s="20">
        <f t="shared" si="6"/>
        <v>1.2816600000000001E-2</v>
      </c>
      <c r="E124" s="20">
        <v>1.08901</v>
      </c>
      <c r="F124" s="20">
        <f t="shared" si="4"/>
        <v>81.675750000000008</v>
      </c>
      <c r="G124" s="20">
        <f t="shared" si="7"/>
        <v>0.40837875000000001</v>
      </c>
      <c r="H124" s="20">
        <f>AVERAGE(D122:D124)</f>
        <v>1.279275E-2</v>
      </c>
      <c r="I124" s="20">
        <f>AVERAGE(E122:E124)</f>
        <v>1.0880099999999999</v>
      </c>
    </row>
    <row r="125" spans="1:9" x14ac:dyDescent="0.4">
      <c r="A125">
        <v>24</v>
      </c>
      <c r="B125" s="20">
        <v>1.08782</v>
      </c>
      <c r="C125" s="20">
        <f t="shared" si="5"/>
        <v>3.2634600000000002</v>
      </c>
      <c r="D125" s="20">
        <f t="shared" si="6"/>
        <v>1.6317300000000003E-2</v>
      </c>
      <c r="E125" s="20">
        <v>1.6504700000000001</v>
      </c>
      <c r="F125" s="20">
        <f t="shared" si="4"/>
        <v>123.78525</v>
      </c>
      <c r="G125" s="20">
        <f t="shared" si="7"/>
        <v>0.61892625000000001</v>
      </c>
    </row>
    <row r="126" spans="1:9" x14ac:dyDescent="0.4">
      <c r="A126">
        <v>24</v>
      </c>
      <c r="B126" s="20">
        <v>1.15926</v>
      </c>
      <c r="C126" s="20">
        <f t="shared" si="5"/>
        <v>3.4777800000000001</v>
      </c>
      <c r="D126" s="20">
        <f t="shared" si="6"/>
        <v>1.7388899999999999E-2</v>
      </c>
      <c r="E126" s="20">
        <v>1.6549799999999999</v>
      </c>
      <c r="F126" s="20">
        <f t="shared" si="4"/>
        <v>124.12349999999999</v>
      </c>
      <c r="G126" s="20">
        <f t="shared" si="7"/>
        <v>0.62061749999999993</v>
      </c>
    </row>
    <row r="127" spans="1:9" x14ac:dyDescent="0.4">
      <c r="A127">
        <v>24</v>
      </c>
      <c r="B127" s="20">
        <v>1.1211500000000001</v>
      </c>
      <c r="C127" s="20">
        <f t="shared" si="5"/>
        <v>3.3634500000000003</v>
      </c>
      <c r="D127" s="20">
        <f t="shared" si="6"/>
        <v>1.6817250000000002E-2</v>
      </c>
      <c r="E127" s="20">
        <v>1.6594800000000001</v>
      </c>
      <c r="F127" s="20">
        <f t="shared" si="4"/>
        <v>124.461</v>
      </c>
      <c r="G127" s="20">
        <f t="shared" si="7"/>
        <v>0.622305</v>
      </c>
      <c r="H127" s="20">
        <f>AVERAGE(D125:D127)</f>
        <v>1.6841150000000003E-2</v>
      </c>
      <c r="I127" s="20">
        <f>AVERAGE(E125:E127)</f>
        <v>1.6549766666666665</v>
      </c>
    </row>
    <row r="128" spans="1:9" x14ac:dyDescent="0.4">
      <c r="A128">
        <v>25</v>
      </c>
      <c r="B128" s="20">
        <v>1.0401899999999999</v>
      </c>
      <c r="C128" s="20">
        <f t="shared" si="5"/>
        <v>3.1205699999999998</v>
      </c>
      <c r="D128" s="20">
        <f t="shared" si="6"/>
        <v>1.560285E-2</v>
      </c>
      <c r="E128" s="20">
        <v>1.5528900000000001</v>
      </c>
      <c r="F128" s="20">
        <f t="shared" si="4"/>
        <v>116.46675</v>
      </c>
      <c r="G128" s="20">
        <f t="shared" si="7"/>
        <v>0.58233374999999998</v>
      </c>
    </row>
    <row r="129" spans="1:9" x14ac:dyDescent="0.4">
      <c r="A129">
        <v>25</v>
      </c>
      <c r="B129" s="20">
        <v>1.0735300000000001</v>
      </c>
      <c r="C129" s="20">
        <f t="shared" si="5"/>
        <v>3.2205900000000005</v>
      </c>
      <c r="D129" s="20">
        <f t="shared" si="6"/>
        <v>1.6102950000000005E-2</v>
      </c>
      <c r="E129" s="20">
        <v>1.5589</v>
      </c>
      <c r="F129" s="20">
        <f t="shared" si="4"/>
        <v>116.91749999999999</v>
      </c>
      <c r="G129" s="20">
        <f t="shared" si="7"/>
        <v>0.58458749999999993</v>
      </c>
    </row>
    <row r="130" spans="1:9" x14ac:dyDescent="0.4">
      <c r="A130">
        <v>25</v>
      </c>
      <c r="B130" s="20">
        <v>1.0735300000000001</v>
      </c>
      <c r="C130" s="20">
        <f t="shared" si="5"/>
        <v>3.2205900000000005</v>
      </c>
      <c r="D130" s="20">
        <f t="shared" si="6"/>
        <v>1.6102950000000005E-2</v>
      </c>
      <c r="E130" s="20">
        <v>1.5544</v>
      </c>
      <c r="F130" s="20">
        <f t="shared" ref="F130:F193" si="8">+E130*75</f>
        <v>116.58</v>
      </c>
      <c r="G130" s="20">
        <f t="shared" si="7"/>
        <v>0.58289999999999997</v>
      </c>
      <c r="H130" s="20">
        <f>AVERAGE(D128:D130)</f>
        <v>1.5936250000000002E-2</v>
      </c>
      <c r="I130" s="20">
        <f>AVERAGE(E128:E130)</f>
        <v>1.5553966666666668</v>
      </c>
    </row>
    <row r="131" spans="1:9" x14ac:dyDescent="0.4">
      <c r="A131">
        <v>26</v>
      </c>
      <c r="B131" s="20">
        <v>0.99256</v>
      </c>
      <c r="C131" s="20">
        <f t="shared" ref="C131:C194" si="9">+B131*3</f>
        <v>2.9776799999999999</v>
      </c>
      <c r="D131" s="20">
        <f t="shared" ref="D131:D194" si="10">C131*5/1000</f>
        <v>1.48884E-2</v>
      </c>
      <c r="E131" s="20">
        <v>1.2436400000000001</v>
      </c>
      <c r="F131" s="20">
        <f t="shared" si="8"/>
        <v>93.27300000000001</v>
      </c>
      <c r="G131" s="20">
        <f t="shared" ref="G131:G194" si="11">F131*5/1000</f>
        <v>0.46636500000000009</v>
      </c>
    </row>
    <row r="132" spans="1:9" x14ac:dyDescent="0.4">
      <c r="A132">
        <v>26</v>
      </c>
      <c r="B132" s="20">
        <v>0.99256</v>
      </c>
      <c r="C132" s="20">
        <f t="shared" si="9"/>
        <v>2.9776799999999999</v>
      </c>
      <c r="D132" s="20">
        <f t="shared" si="10"/>
        <v>1.48884E-2</v>
      </c>
      <c r="E132" s="20">
        <v>1.25265</v>
      </c>
      <c r="F132" s="20">
        <f t="shared" si="8"/>
        <v>93.948750000000004</v>
      </c>
      <c r="G132" s="20">
        <f t="shared" si="11"/>
        <v>0.46974375000000002</v>
      </c>
    </row>
    <row r="133" spans="1:9" x14ac:dyDescent="0.4">
      <c r="A133">
        <v>26</v>
      </c>
      <c r="B133" s="20">
        <v>0.98302999999999996</v>
      </c>
      <c r="C133" s="20">
        <f t="shared" si="9"/>
        <v>2.94909</v>
      </c>
      <c r="D133" s="20">
        <f t="shared" si="10"/>
        <v>1.474545E-2</v>
      </c>
      <c r="E133" s="20">
        <v>1.2436400000000001</v>
      </c>
      <c r="F133" s="20">
        <f t="shared" si="8"/>
        <v>93.27300000000001</v>
      </c>
      <c r="G133" s="20">
        <f t="shared" si="11"/>
        <v>0.46636500000000009</v>
      </c>
      <c r="H133" s="20">
        <f>AVERAGE(D131:D133)</f>
        <v>1.484075E-2</v>
      </c>
      <c r="I133" s="20">
        <f>AVERAGE(E131:E133)</f>
        <v>1.2466433333333333</v>
      </c>
    </row>
    <row r="134" spans="1:9" x14ac:dyDescent="0.4">
      <c r="A134">
        <v>27</v>
      </c>
      <c r="B134" s="20">
        <v>1.3021400000000001</v>
      </c>
      <c r="C134" s="20">
        <f t="shared" si="9"/>
        <v>3.9064200000000002</v>
      </c>
      <c r="D134" s="20">
        <f t="shared" si="10"/>
        <v>1.95321E-2</v>
      </c>
      <c r="E134" s="20">
        <v>3.1141800000000002</v>
      </c>
      <c r="F134" s="20">
        <f t="shared" si="8"/>
        <v>233.5635</v>
      </c>
      <c r="G134" s="20">
        <f t="shared" si="11"/>
        <v>1.1678175000000002</v>
      </c>
    </row>
    <row r="135" spans="1:9" x14ac:dyDescent="0.4">
      <c r="A135">
        <v>27</v>
      </c>
      <c r="B135" s="20">
        <v>1.3402400000000001</v>
      </c>
      <c r="C135" s="20">
        <f t="shared" si="9"/>
        <v>4.0207200000000007</v>
      </c>
      <c r="D135" s="20">
        <f t="shared" si="10"/>
        <v>2.0103600000000003E-2</v>
      </c>
      <c r="E135" s="20">
        <v>3.1261899999999998</v>
      </c>
      <c r="F135" s="20">
        <f t="shared" si="8"/>
        <v>234.46424999999999</v>
      </c>
      <c r="G135" s="20">
        <f t="shared" si="11"/>
        <v>1.17232125</v>
      </c>
    </row>
    <row r="136" spans="1:9" x14ac:dyDescent="0.4">
      <c r="A136">
        <v>27</v>
      </c>
      <c r="B136" s="20">
        <v>1.37358</v>
      </c>
      <c r="C136" s="20">
        <f t="shared" si="9"/>
        <v>4.1207399999999996</v>
      </c>
      <c r="D136" s="20">
        <f t="shared" si="10"/>
        <v>2.0603699999999996E-2</v>
      </c>
      <c r="E136" s="20">
        <v>3.1427100000000001</v>
      </c>
      <c r="F136" s="20">
        <f t="shared" si="8"/>
        <v>235.70325</v>
      </c>
      <c r="G136" s="20">
        <f t="shared" si="11"/>
        <v>1.1785162499999999</v>
      </c>
      <c r="H136" s="20">
        <f>AVERAGE(D134:D136)</f>
        <v>2.0079799999999998E-2</v>
      </c>
      <c r="I136" s="20">
        <f>AVERAGE(E134:E136)</f>
        <v>3.1276933333333332</v>
      </c>
    </row>
    <row r="137" spans="1:9" x14ac:dyDescent="0.4">
      <c r="A137">
        <v>28</v>
      </c>
      <c r="B137" s="20">
        <v>0.70203000000000004</v>
      </c>
      <c r="C137" s="20">
        <f t="shared" si="9"/>
        <v>2.10609</v>
      </c>
      <c r="D137" s="20">
        <f t="shared" si="10"/>
        <v>1.053045E-2</v>
      </c>
      <c r="E137" s="20">
        <v>0.74973000000000001</v>
      </c>
      <c r="F137" s="20">
        <f t="shared" si="8"/>
        <v>56.229750000000003</v>
      </c>
      <c r="G137" s="20">
        <f t="shared" si="11"/>
        <v>0.28114875</v>
      </c>
    </row>
    <row r="138" spans="1:9" x14ac:dyDescent="0.4">
      <c r="A138">
        <v>28</v>
      </c>
      <c r="B138" s="20">
        <v>0.70203000000000004</v>
      </c>
      <c r="C138" s="20">
        <f t="shared" si="9"/>
        <v>2.10609</v>
      </c>
      <c r="D138" s="20">
        <f t="shared" si="10"/>
        <v>1.053045E-2</v>
      </c>
      <c r="E138" s="20">
        <v>0.74222999999999995</v>
      </c>
      <c r="F138" s="20">
        <f t="shared" si="8"/>
        <v>55.667249999999996</v>
      </c>
      <c r="G138" s="20">
        <f t="shared" si="11"/>
        <v>0.27833624999999995</v>
      </c>
    </row>
    <row r="139" spans="1:9" x14ac:dyDescent="0.4">
      <c r="A139">
        <v>28</v>
      </c>
      <c r="B139" s="20">
        <v>0.71155000000000002</v>
      </c>
      <c r="C139" s="20">
        <f t="shared" si="9"/>
        <v>2.1346500000000002</v>
      </c>
      <c r="D139" s="20">
        <f t="shared" si="10"/>
        <v>1.067325E-2</v>
      </c>
      <c r="E139" s="20">
        <v>0.74673</v>
      </c>
      <c r="F139" s="20">
        <f t="shared" si="8"/>
        <v>56.004750000000001</v>
      </c>
      <c r="G139" s="20">
        <f t="shared" si="11"/>
        <v>0.28002375000000002</v>
      </c>
      <c r="H139" s="20">
        <f>AVERAGE(D137:D139)</f>
        <v>1.057805E-2</v>
      </c>
      <c r="I139" s="20">
        <f>AVERAGE(E137:E139)</f>
        <v>0.74623000000000006</v>
      </c>
    </row>
    <row r="140" spans="1:9" x14ac:dyDescent="0.4">
      <c r="A140">
        <v>29</v>
      </c>
      <c r="B140" s="20">
        <v>3.9836</v>
      </c>
      <c r="C140" s="20">
        <f t="shared" si="9"/>
        <v>11.950800000000001</v>
      </c>
      <c r="D140" s="20">
        <f t="shared" si="10"/>
        <v>5.9754000000000002E-2</v>
      </c>
      <c r="E140" s="20">
        <v>6.2562699999999998</v>
      </c>
      <c r="F140" s="20">
        <f t="shared" si="8"/>
        <v>469.22024999999996</v>
      </c>
      <c r="G140" s="20">
        <f t="shared" si="11"/>
        <v>2.3461012499999998</v>
      </c>
    </row>
    <row r="141" spans="1:9" x14ac:dyDescent="0.4">
      <c r="A141">
        <v>29</v>
      </c>
      <c r="B141" s="20">
        <v>4.0598000000000001</v>
      </c>
      <c r="C141" s="20">
        <f t="shared" si="9"/>
        <v>12.179400000000001</v>
      </c>
      <c r="D141" s="20">
        <f t="shared" si="10"/>
        <v>6.0897000000000007E-2</v>
      </c>
      <c r="E141" s="20">
        <v>6.2923</v>
      </c>
      <c r="F141" s="20">
        <f t="shared" si="8"/>
        <v>471.92250000000001</v>
      </c>
      <c r="G141" s="20">
        <f t="shared" si="11"/>
        <v>2.3596125000000003</v>
      </c>
    </row>
    <row r="142" spans="1:9" x14ac:dyDescent="0.4">
      <c r="A142">
        <v>29</v>
      </c>
      <c r="B142" s="20">
        <v>4.0693299999999999</v>
      </c>
      <c r="C142" s="20">
        <f t="shared" si="9"/>
        <v>12.207989999999999</v>
      </c>
      <c r="D142" s="20">
        <f t="shared" si="10"/>
        <v>6.1039949999999989E-2</v>
      </c>
      <c r="E142" s="20">
        <v>6.2292500000000004</v>
      </c>
      <c r="F142" s="20">
        <f t="shared" si="8"/>
        <v>467.19375000000002</v>
      </c>
      <c r="G142" s="20">
        <f t="shared" si="11"/>
        <v>2.3359687500000001</v>
      </c>
      <c r="H142" s="20">
        <f>AVERAGE(D140:D142)</f>
        <v>6.0563649999999997E-2</v>
      </c>
      <c r="I142" s="20">
        <f>AVERAGE(E140:E142)</f>
        <v>6.2592733333333328</v>
      </c>
    </row>
    <row r="143" spans="1:9" x14ac:dyDescent="0.4">
      <c r="A143">
        <v>31</v>
      </c>
      <c r="B143" s="20">
        <v>2.75956</v>
      </c>
      <c r="C143" s="20">
        <f t="shared" si="9"/>
        <v>8.2786799999999996</v>
      </c>
      <c r="D143" s="20">
        <f t="shared" si="10"/>
        <v>4.1393399999999997E-2</v>
      </c>
      <c r="E143" s="20">
        <v>4.0209299999999999</v>
      </c>
      <c r="F143" s="20">
        <f t="shared" si="8"/>
        <v>301.56975</v>
      </c>
      <c r="G143" s="20">
        <f t="shared" si="11"/>
        <v>1.5078487500000002</v>
      </c>
    </row>
    <row r="144" spans="1:9" x14ac:dyDescent="0.4">
      <c r="A144">
        <v>31</v>
      </c>
      <c r="B144" s="20">
        <v>2.8357600000000001</v>
      </c>
      <c r="C144" s="20">
        <f t="shared" si="9"/>
        <v>8.5072799999999997</v>
      </c>
      <c r="D144" s="20">
        <f t="shared" si="10"/>
        <v>4.2536400000000002E-2</v>
      </c>
      <c r="E144" s="20">
        <v>3.9954100000000001</v>
      </c>
      <c r="F144" s="20">
        <f t="shared" si="8"/>
        <v>299.65575000000001</v>
      </c>
      <c r="G144" s="20">
        <f t="shared" si="11"/>
        <v>1.4982787499999999</v>
      </c>
    </row>
    <row r="145" spans="1:9" x14ac:dyDescent="0.4">
      <c r="A145">
        <v>31</v>
      </c>
      <c r="B145" s="20">
        <v>2.8262399999999999</v>
      </c>
      <c r="C145" s="20">
        <f t="shared" si="9"/>
        <v>8.4787199999999991</v>
      </c>
      <c r="D145" s="20">
        <f t="shared" si="10"/>
        <v>4.239359999999999E-2</v>
      </c>
      <c r="E145" s="20">
        <v>3.9878999999999998</v>
      </c>
      <c r="F145" s="20">
        <f t="shared" si="8"/>
        <v>299.09249999999997</v>
      </c>
      <c r="G145" s="20">
        <f t="shared" si="11"/>
        <v>1.4954624999999999</v>
      </c>
      <c r="H145" s="20">
        <f>AVERAGE(D143:D145)</f>
        <v>4.2107799999999994E-2</v>
      </c>
      <c r="I145" s="20">
        <f>AVERAGE(E143:E145)</f>
        <v>4.0014133333333328</v>
      </c>
    </row>
    <row r="146" spans="1:9" x14ac:dyDescent="0.4">
      <c r="A146">
        <v>32</v>
      </c>
      <c r="B146" s="20">
        <v>2.55952</v>
      </c>
      <c r="C146" s="20">
        <f t="shared" si="9"/>
        <v>7.6785600000000001</v>
      </c>
      <c r="D146" s="20">
        <f t="shared" si="10"/>
        <v>3.8392799999999998E-2</v>
      </c>
      <c r="E146" s="20">
        <v>2.8454600000000001</v>
      </c>
      <c r="F146" s="20">
        <f t="shared" si="8"/>
        <v>213.40950000000001</v>
      </c>
      <c r="G146" s="20">
        <f t="shared" si="11"/>
        <v>1.0670475000000001</v>
      </c>
    </row>
    <row r="147" spans="1:9" x14ac:dyDescent="0.4">
      <c r="A147">
        <v>32</v>
      </c>
      <c r="B147" s="20">
        <v>2.5833300000000001</v>
      </c>
      <c r="C147" s="20">
        <f t="shared" si="9"/>
        <v>7.7499900000000004</v>
      </c>
      <c r="D147" s="20">
        <f t="shared" si="10"/>
        <v>3.8749949999999998E-2</v>
      </c>
      <c r="E147" s="20">
        <v>2.9220199999999998</v>
      </c>
      <c r="F147" s="20">
        <f t="shared" si="8"/>
        <v>219.1515</v>
      </c>
      <c r="G147" s="20">
        <f t="shared" si="11"/>
        <v>1.0957574999999999</v>
      </c>
    </row>
    <row r="148" spans="1:9" x14ac:dyDescent="0.4">
      <c r="A148">
        <v>32</v>
      </c>
      <c r="B148" s="20">
        <v>2.5833300000000001</v>
      </c>
      <c r="C148" s="20">
        <f t="shared" si="9"/>
        <v>7.7499900000000004</v>
      </c>
      <c r="D148" s="20">
        <f t="shared" si="10"/>
        <v>3.8749949999999998E-2</v>
      </c>
      <c r="E148" s="20">
        <v>2.9325299999999999</v>
      </c>
      <c r="F148" s="20">
        <f t="shared" si="8"/>
        <v>219.93975</v>
      </c>
      <c r="G148" s="20">
        <f t="shared" si="11"/>
        <v>1.0996987499999999</v>
      </c>
      <c r="H148" s="20">
        <f>AVERAGE(D146:D148)</f>
        <v>3.8630899999999996E-2</v>
      </c>
      <c r="I148" s="20">
        <f>AVERAGE(E146:E148)</f>
        <v>2.9000033333333328</v>
      </c>
    </row>
    <row r="149" spans="1:9" x14ac:dyDescent="0.4">
      <c r="A149">
        <v>33</v>
      </c>
      <c r="B149" s="20">
        <v>1.67364</v>
      </c>
      <c r="C149" s="20">
        <f t="shared" si="9"/>
        <v>5.0209200000000003</v>
      </c>
      <c r="D149" s="20">
        <f t="shared" si="10"/>
        <v>2.5104600000000001E-2</v>
      </c>
      <c r="E149" s="20">
        <v>2.36957</v>
      </c>
      <c r="F149" s="20">
        <f t="shared" si="8"/>
        <v>177.71775</v>
      </c>
      <c r="G149" s="20">
        <f t="shared" si="11"/>
        <v>0.88858875000000004</v>
      </c>
    </row>
    <row r="150" spans="1:9" x14ac:dyDescent="0.4">
      <c r="A150">
        <v>33</v>
      </c>
      <c r="B150" s="20">
        <v>1.6498299999999999</v>
      </c>
      <c r="C150" s="20">
        <f t="shared" si="9"/>
        <v>4.9494899999999999</v>
      </c>
      <c r="D150" s="20">
        <f t="shared" si="10"/>
        <v>2.4747450000000001E-2</v>
      </c>
      <c r="E150" s="20">
        <v>2.4146000000000001</v>
      </c>
      <c r="F150" s="20">
        <f t="shared" si="8"/>
        <v>181.095</v>
      </c>
      <c r="G150" s="20">
        <f t="shared" si="11"/>
        <v>0.90547500000000003</v>
      </c>
    </row>
    <row r="151" spans="1:9" x14ac:dyDescent="0.4">
      <c r="A151">
        <v>33</v>
      </c>
      <c r="B151" s="20">
        <v>1.6879299999999999</v>
      </c>
      <c r="C151" s="20">
        <f t="shared" si="9"/>
        <v>5.06379</v>
      </c>
      <c r="D151" s="20">
        <f t="shared" si="10"/>
        <v>2.531895E-2</v>
      </c>
      <c r="E151" s="20">
        <v>2.4356200000000001</v>
      </c>
      <c r="F151" s="20">
        <f t="shared" si="8"/>
        <v>182.67150000000001</v>
      </c>
      <c r="G151" s="20">
        <f t="shared" si="11"/>
        <v>0.91335750000000004</v>
      </c>
      <c r="H151" s="20">
        <f>AVERAGE(D149:D151)</f>
        <v>2.5056999999999999E-2</v>
      </c>
      <c r="I151" s="20">
        <f>AVERAGE(E149:E151)</f>
        <v>2.4065966666666667</v>
      </c>
    </row>
    <row r="152" spans="1:9" x14ac:dyDescent="0.4">
      <c r="A152">
        <v>34</v>
      </c>
      <c r="B152" s="20">
        <v>1.81176</v>
      </c>
      <c r="C152" s="20">
        <f t="shared" si="9"/>
        <v>5.4352800000000006</v>
      </c>
      <c r="D152" s="20">
        <f t="shared" si="10"/>
        <v>2.71764E-2</v>
      </c>
      <c r="E152" s="20">
        <v>2.9175200000000001</v>
      </c>
      <c r="F152" s="20">
        <f t="shared" si="8"/>
        <v>218.81400000000002</v>
      </c>
      <c r="G152" s="20">
        <f t="shared" si="11"/>
        <v>1.0940700000000001</v>
      </c>
    </row>
    <row r="153" spans="1:9" x14ac:dyDescent="0.4">
      <c r="A153">
        <v>34</v>
      </c>
      <c r="B153" s="20">
        <v>1.7879499999999999</v>
      </c>
      <c r="C153" s="20">
        <f t="shared" si="9"/>
        <v>5.3638499999999993</v>
      </c>
      <c r="D153" s="20">
        <f t="shared" si="10"/>
        <v>2.6819249999999996E-2</v>
      </c>
      <c r="E153" s="20">
        <v>2.9280300000000001</v>
      </c>
      <c r="F153" s="20">
        <f t="shared" si="8"/>
        <v>219.60225</v>
      </c>
      <c r="G153" s="20">
        <f t="shared" si="11"/>
        <v>1.0980112500000001</v>
      </c>
    </row>
    <row r="154" spans="1:9" x14ac:dyDescent="0.4">
      <c r="A154">
        <v>34</v>
      </c>
      <c r="B154" s="20">
        <v>1.78318</v>
      </c>
      <c r="C154" s="20">
        <f t="shared" si="9"/>
        <v>5.3495400000000002</v>
      </c>
      <c r="D154" s="20">
        <f t="shared" si="10"/>
        <v>2.6747700000000003E-2</v>
      </c>
      <c r="E154" s="20">
        <v>2.9280300000000001</v>
      </c>
      <c r="F154" s="20">
        <f t="shared" si="8"/>
        <v>219.60225</v>
      </c>
      <c r="G154" s="20">
        <f t="shared" si="11"/>
        <v>1.0980112500000001</v>
      </c>
      <c r="H154" s="20">
        <f>AVERAGE(D152:D154)</f>
        <v>2.6914449999999996E-2</v>
      </c>
      <c r="I154" s="20">
        <f>AVERAGE(E152:E154)</f>
        <v>2.9245266666666669</v>
      </c>
    </row>
    <row r="155" spans="1:9" x14ac:dyDescent="0.4">
      <c r="A155">
        <v>35</v>
      </c>
      <c r="B155" s="20">
        <v>2.0546600000000002</v>
      </c>
      <c r="C155" s="20">
        <f t="shared" si="9"/>
        <v>6.1639800000000005</v>
      </c>
      <c r="D155" s="20">
        <f t="shared" si="10"/>
        <v>3.0819900000000004E-2</v>
      </c>
      <c r="E155" s="20">
        <v>1.74505</v>
      </c>
      <c r="F155" s="20">
        <f t="shared" si="8"/>
        <v>130.87875</v>
      </c>
      <c r="G155" s="20">
        <f t="shared" si="11"/>
        <v>0.65439375</v>
      </c>
    </row>
    <row r="156" spans="1:9" x14ac:dyDescent="0.4">
      <c r="A156">
        <v>35</v>
      </c>
      <c r="B156" s="20">
        <v>2.0689500000000001</v>
      </c>
      <c r="C156" s="20">
        <f t="shared" si="9"/>
        <v>6.2068500000000002</v>
      </c>
      <c r="D156" s="20">
        <f t="shared" si="10"/>
        <v>3.1034249999999999E-2</v>
      </c>
      <c r="E156" s="20">
        <v>3.5375299999999998</v>
      </c>
      <c r="F156" s="20">
        <f t="shared" si="8"/>
        <v>265.31475</v>
      </c>
      <c r="G156" s="20">
        <f t="shared" si="11"/>
        <v>1.3265737500000001</v>
      </c>
    </row>
    <row r="157" spans="1:9" x14ac:dyDescent="0.4">
      <c r="A157">
        <v>35</v>
      </c>
      <c r="B157" s="20">
        <v>2.0689500000000001</v>
      </c>
      <c r="C157" s="20">
        <f t="shared" si="9"/>
        <v>6.2068500000000002</v>
      </c>
      <c r="D157" s="20">
        <f t="shared" si="10"/>
        <v>3.1034249999999999E-2</v>
      </c>
      <c r="E157" s="20">
        <v>3.7492100000000002</v>
      </c>
      <c r="F157" s="20">
        <f t="shared" si="8"/>
        <v>281.19075000000004</v>
      </c>
      <c r="G157" s="20">
        <f t="shared" si="11"/>
        <v>1.4059537500000001</v>
      </c>
      <c r="H157" s="20">
        <f>AVERAGE(D155:D157)</f>
        <v>3.0962800000000002E-2</v>
      </c>
      <c r="I157" s="20">
        <f>AVERAGE(E155:E157)</f>
        <v>3.0105966666666664</v>
      </c>
    </row>
    <row r="158" spans="1:9" x14ac:dyDescent="0.4">
      <c r="A158">
        <v>36</v>
      </c>
      <c r="B158" s="20">
        <v>1.5021800000000001</v>
      </c>
      <c r="C158" s="20">
        <f t="shared" si="9"/>
        <v>4.5065400000000002</v>
      </c>
      <c r="D158" s="20">
        <f t="shared" si="10"/>
        <v>2.2532700000000003E-2</v>
      </c>
      <c r="E158" s="20">
        <v>2.30952</v>
      </c>
      <c r="F158" s="20">
        <f t="shared" si="8"/>
        <v>173.214</v>
      </c>
      <c r="G158" s="20">
        <f t="shared" si="11"/>
        <v>0.8660699999999999</v>
      </c>
    </row>
    <row r="159" spans="1:9" x14ac:dyDescent="0.4">
      <c r="A159">
        <v>36</v>
      </c>
      <c r="B159" s="20">
        <v>1.51647</v>
      </c>
      <c r="C159" s="20">
        <f t="shared" si="9"/>
        <v>4.54941</v>
      </c>
      <c r="D159" s="20">
        <f t="shared" si="10"/>
        <v>2.2747050000000001E-2</v>
      </c>
      <c r="E159" s="20">
        <v>2.3245300000000002</v>
      </c>
      <c r="F159" s="20">
        <f t="shared" si="8"/>
        <v>174.33975000000001</v>
      </c>
      <c r="G159" s="20">
        <f t="shared" si="11"/>
        <v>0.87169874999999997</v>
      </c>
    </row>
    <row r="160" spans="1:9" x14ac:dyDescent="0.4">
      <c r="A160">
        <v>36</v>
      </c>
      <c r="B160" s="20">
        <v>1.51647</v>
      </c>
      <c r="C160" s="20">
        <f t="shared" si="9"/>
        <v>4.54941</v>
      </c>
      <c r="D160" s="20">
        <f t="shared" si="10"/>
        <v>2.2747050000000001E-2</v>
      </c>
      <c r="E160" s="20">
        <v>2.3155199999999998</v>
      </c>
      <c r="F160" s="20">
        <f t="shared" si="8"/>
        <v>173.66399999999999</v>
      </c>
      <c r="G160" s="20">
        <f t="shared" si="11"/>
        <v>0.86831999999999998</v>
      </c>
      <c r="H160" s="20">
        <f>AVERAGE(D158:D160)</f>
        <v>2.2675600000000004E-2</v>
      </c>
      <c r="I160" s="20">
        <f>AVERAGE(E158:E160)</f>
        <v>2.316523333333333</v>
      </c>
    </row>
    <row r="161" spans="1:9" x14ac:dyDescent="0.4">
      <c r="A161">
        <v>37</v>
      </c>
      <c r="B161" s="20">
        <v>1.01637</v>
      </c>
      <c r="C161" s="20">
        <f t="shared" si="9"/>
        <v>3.0491099999999998</v>
      </c>
      <c r="D161" s="20">
        <f t="shared" si="10"/>
        <v>1.5245549999999998E-2</v>
      </c>
      <c r="E161" s="20">
        <v>1.0079400000000001</v>
      </c>
      <c r="F161" s="20">
        <f t="shared" si="8"/>
        <v>75.595500000000001</v>
      </c>
      <c r="G161" s="20">
        <f t="shared" si="11"/>
        <v>0.37797750000000002</v>
      </c>
    </row>
    <row r="162" spans="1:9" x14ac:dyDescent="0.4">
      <c r="A162">
        <v>37</v>
      </c>
      <c r="B162" s="20">
        <v>0.99256</v>
      </c>
      <c r="C162" s="20">
        <f t="shared" si="9"/>
        <v>2.9776799999999999</v>
      </c>
      <c r="D162" s="20">
        <f t="shared" si="10"/>
        <v>1.48884E-2</v>
      </c>
      <c r="E162" s="20">
        <v>1.0049399999999999</v>
      </c>
      <c r="F162" s="20">
        <f t="shared" si="8"/>
        <v>75.370499999999993</v>
      </c>
      <c r="G162" s="20">
        <f t="shared" si="11"/>
        <v>0.37685249999999998</v>
      </c>
    </row>
    <row r="163" spans="1:9" x14ac:dyDescent="0.4">
      <c r="A163">
        <v>37</v>
      </c>
      <c r="B163" s="20">
        <v>0.96875</v>
      </c>
      <c r="C163" s="20">
        <f t="shared" si="9"/>
        <v>2.90625</v>
      </c>
      <c r="D163" s="20">
        <f t="shared" si="10"/>
        <v>1.4531250000000001E-2</v>
      </c>
      <c r="E163" s="20">
        <v>1.0079400000000001</v>
      </c>
      <c r="F163" s="20">
        <f t="shared" si="8"/>
        <v>75.595500000000001</v>
      </c>
      <c r="G163" s="20">
        <f t="shared" si="11"/>
        <v>0.37797750000000002</v>
      </c>
      <c r="H163" s="20">
        <f>AVERAGE(D161:D163)</f>
        <v>1.4888400000000001E-2</v>
      </c>
      <c r="I163" s="20">
        <f>AVERAGE(E161:E163)</f>
        <v>1.0069399999999999</v>
      </c>
    </row>
    <row r="164" spans="1:9" x14ac:dyDescent="0.4">
      <c r="A164">
        <v>38</v>
      </c>
      <c r="B164" s="20">
        <v>1.78318</v>
      </c>
      <c r="C164" s="20">
        <f t="shared" si="9"/>
        <v>5.3495400000000002</v>
      </c>
      <c r="D164" s="20">
        <f t="shared" si="10"/>
        <v>2.6747700000000003E-2</v>
      </c>
      <c r="E164" s="20">
        <v>2.2224499999999998</v>
      </c>
      <c r="F164" s="20">
        <f t="shared" si="8"/>
        <v>166.68374999999997</v>
      </c>
      <c r="G164" s="20">
        <f t="shared" si="11"/>
        <v>0.83341874999999976</v>
      </c>
    </row>
    <row r="165" spans="1:9" x14ac:dyDescent="0.4">
      <c r="A165">
        <v>38</v>
      </c>
      <c r="B165" s="20">
        <v>1.83081</v>
      </c>
      <c r="C165" s="20">
        <f t="shared" si="9"/>
        <v>5.4924300000000006</v>
      </c>
      <c r="D165" s="20">
        <f t="shared" si="10"/>
        <v>2.7462150000000001E-2</v>
      </c>
      <c r="E165" s="20">
        <v>2.2254499999999999</v>
      </c>
      <c r="F165" s="20">
        <f t="shared" si="8"/>
        <v>166.90875</v>
      </c>
      <c r="G165" s="20">
        <f t="shared" si="11"/>
        <v>0.83454375000000003</v>
      </c>
    </row>
    <row r="166" spans="1:9" x14ac:dyDescent="0.4">
      <c r="A166">
        <v>38</v>
      </c>
      <c r="B166" s="20">
        <v>1.8689100000000001</v>
      </c>
      <c r="C166" s="20">
        <f t="shared" si="9"/>
        <v>5.6067300000000007</v>
      </c>
      <c r="D166" s="20">
        <f t="shared" si="10"/>
        <v>2.803365E-2</v>
      </c>
      <c r="E166" s="20">
        <v>2.22695</v>
      </c>
      <c r="F166" s="20">
        <f t="shared" si="8"/>
        <v>167.02125000000001</v>
      </c>
      <c r="G166" s="20">
        <f t="shared" si="11"/>
        <v>0.83510625000000005</v>
      </c>
      <c r="H166" s="20">
        <f>AVERAGE(D164:D166)</f>
        <v>2.7414499999999998E-2</v>
      </c>
      <c r="I166" s="20">
        <f>AVERAGE(E164:E166)</f>
        <v>2.2249499999999998</v>
      </c>
    </row>
    <row r="167" spans="1:9" x14ac:dyDescent="0.4">
      <c r="A167">
        <v>39</v>
      </c>
      <c r="B167" s="20">
        <v>1.6022000000000001</v>
      </c>
      <c r="C167" s="20">
        <f t="shared" si="9"/>
        <v>4.8066000000000004</v>
      </c>
      <c r="D167" s="20">
        <f t="shared" si="10"/>
        <v>2.4033000000000002E-2</v>
      </c>
      <c r="E167" s="20">
        <v>2.895</v>
      </c>
      <c r="F167" s="20">
        <f t="shared" si="8"/>
        <v>217.125</v>
      </c>
      <c r="G167" s="20">
        <f t="shared" si="11"/>
        <v>1.0856250000000001</v>
      </c>
    </row>
    <row r="168" spans="1:9" x14ac:dyDescent="0.4">
      <c r="A168">
        <v>39</v>
      </c>
      <c r="B168" s="20">
        <v>1.6498299999999999</v>
      </c>
      <c r="C168" s="20">
        <f t="shared" si="9"/>
        <v>4.9494899999999999</v>
      </c>
      <c r="D168" s="20">
        <f t="shared" si="10"/>
        <v>2.4747450000000001E-2</v>
      </c>
      <c r="E168" s="20">
        <v>2.9385400000000002</v>
      </c>
      <c r="F168" s="20">
        <f t="shared" si="8"/>
        <v>220.3905</v>
      </c>
      <c r="G168" s="20">
        <f t="shared" si="11"/>
        <v>1.1019525000000001</v>
      </c>
    </row>
    <row r="169" spans="1:9" x14ac:dyDescent="0.4">
      <c r="A169">
        <v>39</v>
      </c>
      <c r="B169" s="20">
        <v>1.63554</v>
      </c>
      <c r="C169" s="20">
        <f t="shared" si="9"/>
        <v>4.9066200000000002</v>
      </c>
      <c r="D169" s="20">
        <f t="shared" si="10"/>
        <v>2.4533100000000002E-2</v>
      </c>
      <c r="E169" s="20">
        <v>2.9280300000000001</v>
      </c>
      <c r="F169" s="20">
        <f t="shared" si="8"/>
        <v>219.60225</v>
      </c>
      <c r="G169" s="20">
        <f t="shared" si="11"/>
        <v>1.0980112500000001</v>
      </c>
      <c r="H169" s="20">
        <f>AVERAGE(D167:D169)</f>
        <v>2.4437850000000001E-2</v>
      </c>
      <c r="I169" s="20">
        <f>AVERAGE(E167:E169)</f>
        <v>2.9205233333333336</v>
      </c>
    </row>
    <row r="170" spans="1:9" x14ac:dyDescent="0.4">
      <c r="A170">
        <v>41</v>
      </c>
      <c r="B170" s="20">
        <v>1.51647</v>
      </c>
      <c r="C170" s="20">
        <f t="shared" si="9"/>
        <v>4.54941</v>
      </c>
      <c r="D170" s="20">
        <f t="shared" si="10"/>
        <v>2.2747050000000001E-2</v>
      </c>
      <c r="E170" s="20">
        <v>1.84714</v>
      </c>
      <c r="F170" s="20">
        <f t="shared" si="8"/>
        <v>138.53550000000001</v>
      </c>
      <c r="G170" s="20">
        <f t="shared" si="11"/>
        <v>0.69267750000000006</v>
      </c>
    </row>
    <row r="171" spans="1:9" x14ac:dyDescent="0.4">
      <c r="A171">
        <v>41</v>
      </c>
      <c r="B171" s="20">
        <v>1.5879099999999999</v>
      </c>
      <c r="C171" s="20">
        <f t="shared" si="9"/>
        <v>4.7637299999999998</v>
      </c>
      <c r="D171" s="20">
        <f t="shared" si="10"/>
        <v>2.3818649999999997E-2</v>
      </c>
      <c r="E171" s="20">
        <v>1.8606499999999999</v>
      </c>
      <c r="F171" s="20">
        <f t="shared" si="8"/>
        <v>139.54874999999998</v>
      </c>
      <c r="G171" s="20">
        <f t="shared" si="11"/>
        <v>0.69774374999999988</v>
      </c>
    </row>
    <row r="172" spans="1:9" x14ac:dyDescent="0.4">
      <c r="A172">
        <v>41</v>
      </c>
      <c r="B172" s="20">
        <v>1.59267</v>
      </c>
      <c r="C172" s="20">
        <f t="shared" si="9"/>
        <v>4.7780100000000001</v>
      </c>
      <c r="D172" s="20">
        <f t="shared" si="10"/>
        <v>2.3890050000000003E-2</v>
      </c>
      <c r="E172" s="20">
        <v>1.8561399999999999</v>
      </c>
      <c r="F172" s="20">
        <f t="shared" si="8"/>
        <v>139.2105</v>
      </c>
      <c r="G172" s="20">
        <f t="shared" si="11"/>
        <v>0.69605249999999996</v>
      </c>
      <c r="H172" s="20">
        <f>AVERAGE(D170:D172)</f>
        <v>2.3485250000000003E-2</v>
      </c>
      <c r="I172" s="20">
        <f>AVERAGE(E170:E172)</f>
        <v>1.8546433333333334</v>
      </c>
    </row>
    <row r="173" spans="1:9" x14ac:dyDescent="0.4">
      <c r="A173">
        <v>42</v>
      </c>
      <c r="B173" s="20">
        <v>9.4750999999999994</v>
      </c>
      <c r="C173" s="20">
        <f t="shared" si="9"/>
        <v>28.4253</v>
      </c>
      <c r="D173" s="20">
        <f t="shared" si="10"/>
        <v>0.14212649999999999</v>
      </c>
      <c r="E173" s="20">
        <v>10.44773</v>
      </c>
      <c r="F173" s="20">
        <f t="shared" si="8"/>
        <v>783.57974999999999</v>
      </c>
      <c r="G173" s="20">
        <f t="shared" si="11"/>
        <v>3.91789875</v>
      </c>
    </row>
    <row r="174" spans="1:9" x14ac:dyDescent="0.4">
      <c r="A174">
        <v>42</v>
      </c>
      <c r="B174" s="20">
        <v>9.7037099999999992</v>
      </c>
      <c r="C174" s="20">
        <f t="shared" si="9"/>
        <v>29.111129999999996</v>
      </c>
      <c r="D174" s="20">
        <f t="shared" si="10"/>
        <v>0.14555564999999998</v>
      </c>
      <c r="E174" s="20">
        <v>10.39669</v>
      </c>
      <c r="F174" s="20">
        <f t="shared" si="8"/>
        <v>779.75175000000002</v>
      </c>
      <c r="G174" s="20">
        <f t="shared" si="11"/>
        <v>3.8987587499999998</v>
      </c>
    </row>
    <row r="175" spans="1:9" x14ac:dyDescent="0.4">
      <c r="A175">
        <v>42</v>
      </c>
      <c r="B175" s="20">
        <v>9.7418200000000006</v>
      </c>
      <c r="C175" s="20">
        <f t="shared" si="9"/>
        <v>29.225460000000002</v>
      </c>
      <c r="D175" s="20">
        <f t="shared" si="10"/>
        <v>0.14612730000000002</v>
      </c>
      <c r="E175" s="20">
        <v>10.570830000000001</v>
      </c>
      <c r="F175" s="20">
        <f t="shared" si="8"/>
        <v>792.81225000000006</v>
      </c>
      <c r="G175" s="20">
        <f t="shared" si="11"/>
        <v>3.9640612500000003</v>
      </c>
      <c r="H175" s="20">
        <f>AVERAGE(D173:D175)</f>
        <v>0.14460314999999999</v>
      </c>
      <c r="I175" s="20">
        <f>AVERAGE(E173:E175)</f>
        <v>10.47175</v>
      </c>
    </row>
    <row r="176" spans="1:9" x14ac:dyDescent="0.4">
      <c r="A176">
        <v>43</v>
      </c>
      <c r="B176" s="20">
        <v>7.52712</v>
      </c>
      <c r="C176" s="20">
        <f t="shared" si="9"/>
        <v>22.58136</v>
      </c>
      <c r="D176" s="20">
        <f t="shared" si="10"/>
        <v>0.1129068</v>
      </c>
      <c r="E176" s="20">
        <v>16.605810000000002</v>
      </c>
      <c r="F176" s="20">
        <f t="shared" si="8"/>
        <v>1245.4357500000001</v>
      </c>
      <c r="G176" s="20">
        <f t="shared" si="11"/>
        <v>6.2271787500000011</v>
      </c>
    </row>
    <row r="177" spans="1:9" x14ac:dyDescent="0.4">
      <c r="A177">
        <v>43</v>
      </c>
      <c r="B177" s="20">
        <v>7.65571</v>
      </c>
      <c r="C177" s="20">
        <f t="shared" si="9"/>
        <v>22.967130000000001</v>
      </c>
      <c r="D177" s="20">
        <f t="shared" si="10"/>
        <v>0.11483565</v>
      </c>
      <c r="E177" s="20">
        <v>16.649339999999999</v>
      </c>
      <c r="F177" s="20">
        <f t="shared" si="8"/>
        <v>1248.7004999999999</v>
      </c>
      <c r="G177" s="20">
        <f t="shared" si="11"/>
        <v>6.2435025</v>
      </c>
    </row>
    <row r="178" spans="1:9" x14ac:dyDescent="0.4">
      <c r="A178">
        <v>43</v>
      </c>
      <c r="B178" s="20">
        <v>7.7033399999999999</v>
      </c>
      <c r="C178" s="20">
        <f t="shared" si="9"/>
        <v>23.110019999999999</v>
      </c>
      <c r="D178" s="20">
        <f t="shared" si="10"/>
        <v>0.11555009999999999</v>
      </c>
      <c r="E178" s="20">
        <v>16.560770000000002</v>
      </c>
      <c r="F178" s="20">
        <f t="shared" si="8"/>
        <v>1242.0577500000002</v>
      </c>
      <c r="G178" s="20">
        <f t="shared" si="11"/>
        <v>6.210288750000001</v>
      </c>
      <c r="H178" s="20">
        <f>AVERAGE(D176:D178)</f>
        <v>0.11443084999999999</v>
      </c>
      <c r="I178" s="20">
        <f>AVERAGE(E176:E178)</f>
        <v>16.605306666666667</v>
      </c>
    </row>
    <row r="179" spans="1:9" x14ac:dyDescent="0.4">
      <c r="A179">
        <v>44</v>
      </c>
      <c r="B179" s="20">
        <v>8.7225800000000007</v>
      </c>
      <c r="C179" s="20">
        <f t="shared" si="9"/>
        <v>26.167740000000002</v>
      </c>
      <c r="D179" s="20">
        <f t="shared" si="10"/>
        <v>0.13083870000000003</v>
      </c>
      <c r="E179" s="20">
        <v>19.59027</v>
      </c>
      <c r="F179" s="20">
        <f t="shared" si="8"/>
        <v>1469.27025</v>
      </c>
      <c r="G179" s="20">
        <f t="shared" si="11"/>
        <v>7.3463512499999997</v>
      </c>
    </row>
    <row r="180" spans="1:9" x14ac:dyDescent="0.4">
      <c r="A180">
        <v>44</v>
      </c>
      <c r="B180" s="20">
        <v>8.8273600000000005</v>
      </c>
      <c r="C180" s="20">
        <f t="shared" si="9"/>
        <v>26.482080000000003</v>
      </c>
      <c r="D180" s="20">
        <f t="shared" si="10"/>
        <v>0.13241040000000001</v>
      </c>
      <c r="E180" s="20">
        <v>19.52121</v>
      </c>
      <c r="F180" s="20">
        <f t="shared" si="8"/>
        <v>1464.0907500000001</v>
      </c>
      <c r="G180" s="20">
        <f t="shared" si="11"/>
        <v>7.3204537500000004</v>
      </c>
    </row>
    <row r="181" spans="1:9" x14ac:dyDescent="0.4">
      <c r="A181">
        <v>44</v>
      </c>
      <c r="B181" s="20">
        <v>8.9511900000000004</v>
      </c>
      <c r="C181" s="20">
        <f t="shared" si="9"/>
        <v>26.853570000000001</v>
      </c>
      <c r="D181" s="20">
        <f t="shared" si="10"/>
        <v>0.13426785000000002</v>
      </c>
      <c r="E181" s="20">
        <v>19.249490000000002</v>
      </c>
      <c r="F181" s="20">
        <f t="shared" si="8"/>
        <v>1443.7117500000002</v>
      </c>
      <c r="G181" s="20">
        <f t="shared" si="11"/>
        <v>7.2185587500000015</v>
      </c>
      <c r="H181" s="20">
        <f>AVERAGE(D179:D181)</f>
        <v>0.13250565</v>
      </c>
      <c r="I181" s="20">
        <f>AVERAGE(E179:E181)</f>
        <v>19.453656666666667</v>
      </c>
    </row>
    <row r="182" spans="1:9" x14ac:dyDescent="0.4">
      <c r="A182">
        <v>45</v>
      </c>
      <c r="B182" s="20">
        <v>6.8793800000000003</v>
      </c>
      <c r="C182" s="20">
        <f t="shared" si="9"/>
        <v>20.63814</v>
      </c>
      <c r="D182" s="20">
        <f t="shared" si="10"/>
        <v>0.1031907</v>
      </c>
      <c r="E182" s="20">
        <v>15.972289999999999</v>
      </c>
      <c r="F182" s="20">
        <f t="shared" si="8"/>
        <v>1197.92175</v>
      </c>
      <c r="G182" s="20">
        <f t="shared" si="11"/>
        <v>5.9896087499999995</v>
      </c>
    </row>
    <row r="183" spans="1:9" x14ac:dyDescent="0.4">
      <c r="A183">
        <v>45</v>
      </c>
      <c r="B183" s="20">
        <v>6.8888999999999996</v>
      </c>
      <c r="C183" s="20">
        <f t="shared" si="9"/>
        <v>20.666699999999999</v>
      </c>
      <c r="D183" s="20">
        <f t="shared" si="10"/>
        <v>0.10333349999999998</v>
      </c>
      <c r="E183" s="20">
        <v>16.134419999999999</v>
      </c>
      <c r="F183" s="20">
        <f t="shared" si="8"/>
        <v>1210.0815</v>
      </c>
      <c r="G183" s="20">
        <f t="shared" si="11"/>
        <v>6.0504075000000004</v>
      </c>
    </row>
    <row r="184" spans="1:9" x14ac:dyDescent="0.4">
      <c r="A184">
        <v>45</v>
      </c>
      <c r="B184" s="20">
        <v>6.9698700000000002</v>
      </c>
      <c r="C184" s="20">
        <f t="shared" si="9"/>
        <v>20.909610000000001</v>
      </c>
      <c r="D184" s="20">
        <f t="shared" si="10"/>
        <v>0.10454805</v>
      </c>
      <c r="E184" s="20">
        <v>16.30256</v>
      </c>
      <c r="F184" s="20">
        <f t="shared" si="8"/>
        <v>1222.692</v>
      </c>
      <c r="G184" s="20">
        <f t="shared" si="11"/>
        <v>6.1134599999999999</v>
      </c>
      <c r="H184" s="20">
        <f>AVERAGE(D182:D184)</f>
        <v>0.10369075</v>
      </c>
      <c r="I184" s="20">
        <f>AVERAGE(E182:E184)</f>
        <v>16.136423333333333</v>
      </c>
    </row>
    <row r="185" spans="1:9" x14ac:dyDescent="0.4">
      <c r="A185">
        <v>46</v>
      </c>
      <c r="B185" s="20">
        <v>5.1647699999999999</v>
      </c>
      <c r="C185" s="20">
        <f t="shared" si="9"/>
        <v>15.494309999999999</v>
      </c>
      <c r="D185" s="20">
        <f t="shared" si="10"/>
        <v>7.747155E-2</v>
      </c>
      <c r="E185" s="20">
        <v>5.9980599999999997</v>
      </c>
      <c r="F185" s="20">
        <f t="shared" si="8"/>
        <v>449.85449999999997</v>
      </c>
      <c r="G185" s="20">
        <f t="shared" si="11"/>
        <v>2.2492725</v>
      </c>
    </row>
    <row r="186" spans="1:9" x14ac:dyDescent="0.4">
      <c r="A186">
        <v>46</v>
      </c>
      <c r="B186" s="20">
        <v>5.1504799999999999</v>
      </c>
      <c r="C186" s="20">
        <f t="shared" si="9"/>
        <v>15.45144</v>
      </c>
      <c r="D186" s="20">
        <f t="shared" si="10"/>
        <v>7.7257199999999998E-2</v>
      </c>
      <c r="E186" s="20">
        <v>6.0686200000000001</v>
      </c>
      <c r="F186" s="20">
        <f t="shared" si="8"/>
        <v>455.1465</v>
      </c>
      <c r="G186" s="20">
        <f t="shared" si="11"/>
        <v>2.2757325000000002</v>
      </c>
    </row>
    <row r="187" spans="1:9" x14ac:dyDescent="0.4">
      <c r="A187">
        <v>46</v>
      </c>
      <c r="B187" s="20">
        <v>5.1790599999999998</v>
      </c>
      <c r="C187" s="20">
        <f t="shared" si="9"/>
        <v>15.537179999999999</v>
      </c>
      <c r="D187" s="20">
        <f t="shared" si="10"/>
        <v>7.7685900000000002E-2</v>
      </c>
      <c r="E187" s="20">
        <v>6.0941400000000003</v>
      </c>
      <c r="F187" s="20">
        <f t="shared" si="8"/>
        <v>457.06050000000005</v>
      </c>
      <c r="G187" s="20">
        <f t="shared" si="11"/>
        <v>2.2853025000000002</v>
      </c>
      <c r="H187" s="20">
        <f>AVERAGE(D185:D187)</f>
        <v>7.747155E-2</v>
      </c>
      <c r="I187" s="20">
        <f>AVERAGE(E185:E187)</f>
        <v>6.053606666666667</v>
      </c>
    </row>
    <row r="188" spans="1:9" x14ac:dyDescent="0.4">
      <c r="A188">
        <v>47</v>
      </c>
      <c r="B188" s="20">
        <v>2.8738600000000001</v>
      </c>
      <c r="C188" s="20">
        <f t="shared" si="9"/>
        <v>8.6215799999999998</v>
      </c>
      <c r="D188" s="20">
        <f t="shared" si="10"/>
        <v>4.3107899999999998E-2</v>
      </c>
      <c r="E188" s="20">
        <v>5.7999000000000001</v>
      </c>
      <c r="F188" s="20">
        <f t="shared" si="8"/>
        <v>434.99250000000001</v>
      </c>
      <c r="G188" s="20">
        <f t="shared" si="11"/>
        <v>2.1749624999999999</v>
      </c>
    </row>
    <row r="189" spans="1:9" x14ac:dyDescent="0.4">
      <c r="A189">
        <v>47</v>
      </c>
      <c r="B189" s="20">
        <v>2.9024399999999999</v>
      </c>
      <c r="C189" s="20">
        <f t="shared" si="9"/>
        <v>8.7073199999999993</v>
      </c>
      <c r="D189" s="20">
        <f t="shared" si="10"/>
        <v>4.3536599999999995E-2</v>
      </c>
      <c r="E189" s="20">
        <v>5.7743799999999998</v>
      </c>
      <c r="F189" s="20">
        <f t="shared" si="8"/>
        <v>433.07849999999996</v>
      </c>
      <c r="G189" s="20">
        <f t="shared" si="11"/>
        <v>2.1653924999999998</v>
      </c>
    </row>
    <row r="190" spans="1:9" x14ac:dyDescent="0.4">
      <c r="A190">
        <v>47</v>
      </c>
      <c r="B190" s="20">
        <v>2.8262399999999999</v>
      </c>
      <c r="C190" s="20">
        <f t="shared" si="9"/>
        <v>8.4787199999999991</v>
      </c>
      <c r="D190" s="20">
        <f t="shared" si="10"/>
        <v>4.239359999999999E-2</v>
      </c>
      <c r="E190" s="20">
        <v>5.7923900000000001</v>
      </c>
      <c r="F190" s="20">
        <f t="shared" si="8"/>
        <v>434.42925000000002</v>
      </c>
      <c r="G190" s="20">
        <f t="shared" si="11"/>
        <v>2.1721462500000004</v>
      </c>
      <c r="H190" s="20">
        <f>AVERAGE(D188:D190)</f>
        <v>4.3012699999999994E-2</v>
      </c>
      <c r="I190" s="20">
        <f>AVERAGE(E188:E190)</f>
        <v>5.7888899999999994</v>
      </c>
    </row>
    <row r="191" spans="1:9" x14ac:dyDescent="0.4">
      <c r="A191">
        <v>48</v>
      </c>
      <c r="B191" s="20">
        <v>3.3310900000000001</v>
      </c>
      <c r="C191" s="20">
        <f t="shared" si="9"/>
        <v>9.9932700000000008</v>
      </c>
      <c r="D191" s="20">
        <f t="shared" si="10"/>
        <v>4.9966350000000007E-2</v>
      </c>
      <c r="E191" s="20">
        <v>7.2966300000000004</v>
      </c>
      <c r="F191" s="20">
        <f t="shared" si="8"/>
        <v>547.24725000000001</v>
      </c>
      <c r="G191" s="20">
        <f t="shared" si="11"/>
        <v>2.7362362500000001</v>
      </c>
    </row>
    <row r="192" spans="1:9" x14ac:dyDescent="0.4">
      <c r="A192">
        <v>48</v>
      </c>
      <c r="B192" s="20">
        <v>3.34538</v>
      </c>
      <c r="C192" s="20">
        <f t="shared" si="9"/>
        <v>10.03614</v>
      </c>
      <c r="D192" s="20">
        <f t="shared" si="10"/>
        <v>5.0180700000000002E-2</v>
      </c>
      <c r="E192" s="20">
        <v>7.34917</v>
      </c>
      <c r="F192" s="20">
        <f t="shared" si="8"/>
        <v>551.18775000000005</v>
      </c>
      <c r="G192" s="20">
        <f t="shared" si="11"/>
        <v>2.7559387500000003</v>
      </c>
    </row>
    <row r="193" spans="1:9" x14ac:dyDescent="0.4">
      <c r="A193">
        <v>48</v>
      </c>
      <c r="B193" s="20">
        <v>3.3882500000000002</v>
      </c>
      <c r="C193" s="20">
        <f t="shared" si="9"/>
        <v>10.164750000000002</v>
      </c>
      <c r="D193" s="20">
        <f t="shared" si="10"/>
        <v>5.0823750000000001E-2</v>
      </c>
      <c r="E193" s="20">
        <v>7.37019</v>
      </c>
      <c r="F193" s="20">
        <f t="shared" si="8"/>
        <v>552.76424999999995</v>
      </c>
      <c r="G193" s="20">
        <f t="shared" si="11"/>
        <v>2.7638212499999999</v>
      </c>
      <c r="H193" s="20">
        <f>AVERAGE(D191:D193)</f>
        <v>5.0323600000000003E-2</v>
      </c>
      <c r="I193" s="20">
        <f>AVERAGE(E191:E193)</f>
        <v>7.3386633333333338</v>
      </c>
    </row>
    <row r="194" spans="1:9" x14ac:dyDescent="0.4">
      <c r="A194">
        <v>49</v>
      </c>
      <c r="B194" s="20">
        <v>3.30728</v>
      </c>
      <c r="C194" s="20">
        <f t="shared" si="9"/>
        <v>9.9218399999999995</v>
      </c>
      <c r="D194" s="20">
        <f t="shared" si="10"/>
        <v>4.9609199999999999E-2</v>
      </c>
      <c r="E194" s="20">
        <v>7.6013799999999998</v>
      </c>
      <c r="F194" s="20">
        <f t="shared" ref="F194:F257" si="12">+E194*75</f>
        <v>570.10349999999994</v>
      </c>
      <c r="G194" s="20">
        <f t="shared" si="11"/>
        <v>2.8505175</v>
      </c>
    </row>
    <row r="195" spans="1:9" x14ac:dyDescent="0.4">
      <c r="A195">
        <v>49</v>
      </c>
      <c r="B195" s="20">
        <v>3.2929900000000001</v>
      </c>
      <c r="C195" s="20">
        <f t="shared" ref="C195:C258" si="13">+B195*3</f>
        <v>9.8789700000000007</v>
      </c>
      <c r="D195" s="20">
        <f t="shared" ref="D195:D258" si="14">C195*5/1000</f>
        <v>4.9394850000000004E-2</v>
      </c>
      <c r="E195" s="20">
        <v>7.6118899999999998</v>
      </c>
      <c r="F195" s="20">
        <f t="shared" si="12"/>
        <v>570.89175</v>
      </c>
      <c r="G195" s="20">
        <f t="shared" ref="G195:G258" si="15">F195*5/1000</f>
        <v>2.8544587499999996</v>
      </c>
    </row>
    <row r="196" spans="1:9" x14ac:dyDescent="0.4">
      <c r="A196">
        <v>49</v>
      </c>
      <c r="B196" s="20">
        <v>3.2834599999999998</v>
      </c>
      <c r="C196" s="20">
        <f t="shared" si="13"/>
        <v>9.8503799999999995</v>
      </c>
      <c r="D196" s="20">
        <f t="shared" si="14"/>
        <v>4.9251900000000001E-2</v>
      </c>
      <c r="E196" s="20">
        <v>7.5893699999999997</v>
      </c>
      <c r="F196" s="20">
        <f t="shared" si="12"/>
        <v>569.20274999999992</v>
      </c>
      <c r="G196" s="20">
        <f t="shared" si="15"/>
        <v>2.8460137499999996</v>
      </c>
      <c r="H196" s="20">
        <f>AVERAGE(D194:D196)</f>
        <v>4.9418650000000008E-2</v>
      </c>
      <c r="I196" s="20">
        <f>AVERAGE(E194:E196)</f>
        <v>7.6008800000000001</v>
      </c>
    </row>
    <row r="197" spans="1:9" x14ac:dyDescent="0.4">
      <c r="A197">
        <v>51</v>
      </c>
      <c r="B197" s="20">
        <v>2.5690400000000002</v>
      </c>
      <c r="C197" s="20">
        <f t="shared" si="13"/>
        <v>7.7071200000000006</v>
      </c>
      <c r="D197" s="20">
        <f t="shared" si="14"/>
        <v>3.8535600000000003E-2</v>
      </c>
      <c r="E197" s="20">
        <v>5.0958199999999998</v>
      </c>
      <c r="F197" s="20">
        <f t="shared" si="12"/>
        <v>382.18649999999997</v>
      </c>
      <c r="G197" s="20">
        <f t="shared" si="15"/>
        <v>1.9109324999999999</v>
      </c>
    </row>
    <row r="198" spans="1:9" x14ac:dyDescent="0.4">
      <c r="A198">
        <v>51</v>
      </c>
      <c r="B198" s="20">
        <v>2.6214400000000002</v>
      </c>
      <c r="C198" s="20">
        <f t="shared" si="13"/>
        <v>7.8643200000000011</v>
      </c>
      <c r="D198" s="20">
        <f t="shared" si="14"/>
        <v>3.9321600000000005E-2</v>
      </c>
      <c r="E198" s="20">
        <v>5.0657899999999998</v>
      </c>
      <c r="F198" s="20">
        <f t="shared" si="12"/>
        <v>379.93424999999996</v>
      </c>
      <c r="G198" s="20">
        <f t="shared" si="15"/>
        <v>1.8996712499999999</v>
      </c>
    </row>
    <row r="199" spans="1:9" x14ac:dyDescent="0.4">
      <c r="A199">
        <v>51</v>
      </c>
      <c r="B199" s="20">
        <v>2.63096</v>
      </c>
      <c r="C199" s="20">
        <f t="shared" si="13"/>
        <v>7.8928799999999999</v>
      </c>
      <c r="D199" s="20">
        <f t="shared" si="14"/>
        <v>3.9464399999999997E-2</v>
      </c>
      <c r="E199" s="20">
        <v>5.0732999999999997</v>
      </c>
      <c r="F199" s="20">
        <f t="shared" si="12"/>
        <v>380.4975</v>
      </c>
      <c r="G199" s="20">
        <f t="shared" si="15"/>
        <v>1.9024874999999999</v>
      </c>
      <c r="H199" s="20">
        <f>AVERAGE(D197:D199)</f>
        <v>3.9107200000000002E-2</v>
      </c>
      <c r="I199" s="20">
        <f>AVERAGE(E197:E199)</f>
        <v>5.0783033333333334</v>
      </c>
    </row>
    <row r="200" spans="1:9" x14ac:dyDescent="0.4">
      <c r="A200">
        <v>52</v>
      </c>
      <c r="B200" s="20">
        <v>2.6833499999999999</v>
      </c>
      <c r="C200" s="20">
        <f t="shared" si="13"/>
        <v>8.0500499999999988</v>
      </c>
      <c r="D200" s="20">
        <f t="shared" si="14"/>
        <v>4.0250249999999994E-2</v>
      </c>
      <c r="E200" s="20">
        <v>4.8285999999999998</v>
      </c>
      <c r="F200" s="20">
        <f t="shared" si="12"/>
        <v>362.14499999999998</v>
      </c>
      <c r="G200" s="20">
        <f t="shared" si="15"/>
        <v>1.8107249999999999</v>
      </c>
    </row>
    <row r="201" spans="1:9" x14ac:dyDescent="0.4">
      <c r="A201">
        <v>52</v>
      </c>
      <c r="B201" s="20">
        <v>2.63096</v>
      </c>
      <c r="C201" s="20">
        <f t="shared" si="13"/>
        <v>7.8928799999999999</v>
      </c>
      <c r="D201" s="20">
        <f t="shared" si="14"/>
        <v>3.9464399999999997E-2</v>
      </c>
      <c r="E201" s="20">
        <v>4.7850599999999996</v>
      </c>
      <c r="F201" s="20">
        <f t="shared" si="12"/>
        <v>358.87949999999995</v>
      </c>
      <c r="G201" s="20">
        <f t="shared" si="15"/>
        <v>1.7943974999999999</v>
      </c>
    </row>
    <row r="202" spans="1:9" x14ac:dyDescent="0.4">
      <c r="A202">
        <v>52</v>
      </c>
      <c r="B202" s="20">
        <v>2.66906</v>
      </c>
      <c r="C202" s="20">
        <f t="shared" si="13"/>
        <v>8.00718</v>
      </c>
      <c r="D202" s="20">
        <f t="shared" si="14"/>
        <v>4.0035899999999999E-2</v>
      </c>
      <c r="E202" s="20">
        <v>4.8000699999999998</v>
      </c>
      <c r="F202" s="20">
        <f t="shared" si="12"/>
        <v>360.00524999999999</v>
      </c>
      <c r="G202" s="20">
        <f t="shared" si="15"/>
        <v>1.8000262499999999</v>
      </c>
      <c r="H202" s="20">
        <f>AVERAGE(D200:D202)</f>
        <v>3.9916849999999997E-2</v>
      </c>
      <c r="I202" s="20">
        <f>AVERAGE(E200:E202)</f>
        <v>4.8045766666666667</v>
      </c>
    </row>
    <row r="203" spans="1:9" x14ac:dyDescent="0.4">
      <c r="A203">
        <v>53</v>
      </c>
      <c r="B203" s="20">
        <v>2.2928000000000002</v>
      </c>
      <c r="C203" s="20">
        <f t="shared" si="13"/>
        <v>6.878400000000001</v>
      </c>
      <c r="D203" s="20">
        <f t="shared" si="14"/>
        <v>3.4392000000000006E-2</v>
      </c>
      <c r="E203" s="20">
        <v>3.84979</v>
      </c>
      <c r="F203" s="20">
        <f t="shared" si="12"/>
        <v>288.73425000000003</v>
      </c>
      <c r="G203" s="20">
        <f t="shared" si="15"/>
        <v>1.4436712500000002</v>
      </c>
    </row>
    <row r="204" spans="1:9" x14ac:dyDescent="0.4">
      <c r="A204">
        <v>53</v>
      </c>
      <c r="B204" s="20">
        <v>2.23089</v>
      </c>
      <c r="C204" s="20">
        <f t="shared" si="13"/>
        <v>6.6926699999999997</v>
      </c>
      <c r="D204" s="20">
        <f t="shared" si="14"/>
        <v>3.3463349999999996E-2</v>
      </c>
      <c r="E204" s="20">
        <v>3.8242699999999998</v>
      </c>
      <c r="F204" s="20">
        <f t="shared" si="12"/>
        <v>286.82024999999999</v>
      </c>
      <c r="G204" s="20">
        <f t="shared" si="15"/>
        <v>1.4341012499999999</v>
      </c>
    </row>
    <row r="205" spans="1:9" x14ac:dyDescent="0.4">
      <c r="A205">
        <v>53</v>
      </c>
      <c r="B205" s="20">
        <v>2.2166000000000001</v>
      </c>
      <c r="C205" s="20">
        <f t="shared" si="13"/>
        <v>6.6498000000000008</v>
      </c>
      <c r="D205" s="20">
        <f t="shared" si="14"/>
        <v>3.3249000000000001E-2</v>
      </c>
      <c r="E205" s="20">
        <v>3.83778</v>
      </c>
      <c r="F205" s="20">
        <f t="shared" si="12"/>
        <v>287.83350000000002</v>
      </c>
      <c r="G205" s="20">
        <f t="shared" si="15"/>
        <v>1.4391674999999999</v>
      </c>
      <c r="H205" s="20">
        <f>AVERAGE(D203:D205)</f>
        <v>3.3701450000000001E-2</v>
      </c>
      <c r="I205" s="20">
        <f>AVERAGE(E203:E205)</f>
        <v>3.8372799999999998</v>
      </c>
    </row>
    <row r="206" spans="1:9" x14ac:dyDescent="0.4">
      <c r="A206">
        <v>54</v>
      </c>
      <c r="B206" s="20">
        <v>1.66411</v>
      </c>
      <c r="C206" s="20">
        <f t="shared" si="13"/>
        <v>4.9923299999999999</v>
      </c>
      <c r="D206" s="20">
        <f t="shared" si="14"/>
        <v>2.4961649999999998E-2</v>
      </c>
      <c r="E206" s="20">
        <v>2.1338699999999999</v>
      </c>
      <c r="F206" s="20">
        <f t="shared" si="12"/>
        <v>160.04024999999999</v>
      </c>
      <c r="G206" s="20">
        <f t="shared" si="15"/>
        <v>0.80020124999999998</v>
      </c>
    </row>
    <row r="207" spans="1:9" x14ac:dyDescent="0.4">
      <c r="A207">
        <v>54</v>
      </c>
      <c r="B207" s="20">
        <v>1.6498299999999999</v>
      </c>
      <c r="C207" s="20">
        <f t="shared" si="13"/>
        <v>4.9494899999999999</v>
      </c>
      <c r="D207" s="20">
        <f t="shared" si="14"/>
        <v>2.4747450000000001E-2</v>
      </c>
      <c r="E207" s="20">
        <v>2.1293700000000002</v>
      </c>
      <c r="F207" s="20">
        <f t="shared" si="12"/>
        <v>159.70275000000001</v>
      </c>
      <c r="G207" s="20">
        <f t="shared" si="15"/>
        <v>0.79851375000000002</v>
      </c>
    </row>
    <row r="208" spans="1:9" x14ac:dyDescent="0.4">
      <c r="A208">
        <v>54</v>
      </c>
      <c r="B208" s="20">
        <v>1.61649</v>
      </c>
      <c r="C208" s="20">
        <f t="shared" si="13"/>
        <v>4.8494700000000002</v>
      </c>
      <c r="D208" s="20">
        <f t="shared" si="14"/>
        <v>2.4247350000000001E-2</v>
      </c>
      <c r="E208" s="20">
        <v>2.1488900000000002</v>
      </c>
      <c r="F208" s="20">
        <f t="shared" si="12"/>
        <v>161.16675000000001</v>
      </c>
      <c r="G208" s="20">
        <f t="shared" si="15"/>
        <v>0.80583375000000002</v>
      </c>
      <c r="H208" s="20">
        <f>AVERAGE(D206:D208)</f>
        <v>2.4652150000000001E-2</v>
      </c>
      <c r="I208" s="20">
        <f>AVERAGE(E206:E208)</f>
        <v>2.1373766666666665</v>
      </c>
    </row>
    <row r="209" spans="1:9" x14ac:dyDescent="0.4">
      <c r="A209">
        <v>56</v>
      </c>
      <c r="B209" s="20">
        <v>5.3505200000000004</v>
      </c>
      <c r="C209" s="20">
        <f t="shared" si="13"/>
        <v>16.051560000000002</v>
      </c>
      <c r="D209" s="20">
        <f t="shared" si="14"/>
        <v>8.0257800000000004E-2</v>
      </c>
      <c r="E209" s="20">
        <v>7.4692699999999999</v>
      </c>
      <c r="F209" s="20">
        <f t="shared" si="12"/>
        <v>560.19524999999999</v>
      </c>
      <c r="G209" s="20">
        <f t="shared" si="15"/>
        <v>2.8009762499999997</v>
      </c>
    </row>
    <row r="210" spans="1:9" x14ac:dyDescent="0.4">
      <c r="A210">
        <v>56</v>
      </c>
      <c r="B210" s="20">
        <v>5.4124299999999996</v>
      </c>
      <c r="C210" s="20">
        <f t="shared" si="13"/>
        <v>16.237289999999998</v>
      </c>
      <c r="D210" s="20">
        <f t="shared" si="14"/>
        <v>8.1186449999999993E-2</v>
      </c>
      <c r="E210" s="20">
        <v>7.52332</v>
      </c>
      <c r="F210" s="20">
        <f t="shared" si="12"/>
        <v>564.24900000000002</v>
      </c>
      <c r="G210" s="20">
        <f t="shared" si="15"/>
        <v>2.8212449999999998</v>
      </c>
    </row>
    <row r="211" spans="1:9" x14ac:dyDescent="0.4">
      <c r="A211">
        <v>56</v>
      </c>
      <c r="B211" s="20">
        <v>5.4267200000000004</v>
      </c>
      <c r="C211" s="20">
        <f t="shared" si="13"/>
        <v>16.280160000000002</v>
      </c>
      <c r="D211" s="20">
        <f t="shared" si="14"/>
        <v>8.1400800000000009E-2</v>
      </c>
      <c r="E211" s="20">
        <v>7.4572599999999998</v>
      </c>
      <c r="F211" s="20">
        <f t="shared" si="12"/>
        <v>559.29449999999997</v>
      </c>
      <c r="G211" s="20">
        <f t="shared" si="15"/>
        <v>2.7964724999999997</v>
      </c>
      <c r="H211" s="20">
        <f>AVERAGE(D209:D211)</f>
        <v>8.0948350000000002E-2</v>
      </c>
      <c r="I211" s="20">
        <f>AVERAGE(E209:E211)</f>
        <v>7.4832833333333326</v>
      </c>
    </row>
    <row r="212" spans="1:9" x14ac:dyDescent="0.4">
      <c r="A212">
        <v>57</v>
      </c>
      <c r="B212" s="20">
        <v>4.2884099999999998</v>
      </c>
      <c r="C212" s="20">
        <f t="shared" si="13"/>
        <v>12.86523</v>
      </c>
      <c r="D212" s="20">
        <f t="shared" si="14"/>
        <v>6.4326149999999999E-2</v>
      </c>
      <c r="E212" s="20">
        <v>5.1648699999999996</v>
      </c>
      <c r="F212" s="20">
        <f t="shared" si="12"/>
        <v>387.36524999999995</v>
      </c>
      <c r="G212" s="20">
        <f t="shared" si="15"/>
        <v>1.9368262499999995</v>
      </c>
    </row>
    <row r="213" spans="1:9" x14ac:dyDescent="0.4">
      <c r="A213">
        <v>57</v>
      </c>
      <c r="B213" s="20">
        <v>4.3455700000000004</v>
      </c>
      <c r="C213" s="20">
        <f t="shared" si="13"/>
        <v>13.036710000000001</v>
      </c>
      <c r="D213" s="20">
        <f t="shared" si="14"/>
        <v>6.5183550000000007E-2</v>
      </c>
      <c r="E213" s="20">
        <v>5.1483600000000003</v>
      </c>
      <c r="F213" s="20">
        <f t="shared" si="12"/>
        <v>386.12700000000001</v>
      </c>
      <c r="G213" s="20">
        <f t="shared" si="15"/>
        <v>1.9306350000000001</v>
      </c>
    </row>
    <row r="214" spans="1:9" x14ac:dyDescent="0.4">
      <c r="A214">
        <v>57</v>
      </c>
      <c r="B214" s="20">
        <v>4.3217499999999998</v>
      </c>
      <c r="C214" s="20">
        <f t="shared" si="13"/>
        <v>12.965249999999999</v>
      </c>
      <c r="D214" s="20">
        <f t="shared" si="14"/>
        <v>6.4826250000000002E-2</v>
      </c>
      <c r="E214" s="20">
        <v>5.1573700000000002</v>
      </c>
      <c r="F214" s="20">
        <f t="shared" si="12"/>
        <v>386.80275</v>
      </c>
      <c r="G214" s="20">
        <f t="shared" si="15"/>
        <v>1.9340137500000001</v>
      </c>
      <c r="H214" s="20">
        <f>AVERAGE(D212:D214)</f>
        <v>6.4778650000000007E-2</v>
      </c>
      <c r="I214" s="20">
        <f>AVERAGE(E212:E214)</f>
        <v>5.1568666666666667</v>
      </c>
    </row>
    <row r="215" spans="1:9" x14ac:dyDescent="0.4">
      <c r="A215">
        <v>58</v>
      </c>
      <c r="B215" s="20">
        <v>12.44232</v>
      </c>
      <c r="C215" s="20">
        <f t="shared" si="13"/>
        <v>37.32696</v>
      </c>
      <c r="D215" s="20">
        <f t="shared" si="14"/>
        <v>0.18663479999999999</v>
      </c>
      <c r="E215" s="20">
        <v>5.8764599999999998</v>
      </c>
      <c r="F215" s="20">
        <f t="shared" si="12"/>
        <v>440.73449999999997</v>
      </c>
      <c r="G215" s="20">
        <f t="shared" si="15"/>
        <v>2.2036724999999997</v>
      </c>
    </row>
    <row r="216" spans="1:9" x14ac:dyDescent="0.4">
      <c r="A216">
        <v>58</v>
      </c>
      <c r="B216" s="20">
        <v>12.67094</v>
      </c>
      <c r="C216" s="20">
        <f t="shared" si="13"/>
        <v>38.012819999999998</v>
      </c>
      <c r="D216" s="20">
        <f t="shared" si="14"/>
        <v>0.19006409999999999</v>
      </c>
      <c r="E216" s="20">
        <v>5.8509399999999996</v>
      </c>
      <c r="F216" s="20">
        <f t="shared" si="12"/>
        <v>438.82049999999998</v>
      </c>
      <c r="G216" s="20">
        <f t="shared" si="15"/>
        <v>2.1941025000000001</v>
      </c>
    </row>
    <row r="217" spans="1:9" x14ac:dyDescent="0.4">
      <c r="A217">
        <v>58</v>
      </c>
      <c r="B217" s="20">
        <v>12.751899999999999</v>
      </c>
      <c r="C217" s="20">
        <f t="shared" si="13"/>
        <v>38.255699999999997</v>
      </c>
      <c r="D217" s="20">
        <f t="shared" si="14"/>
        <v>0.19127849999999999</v>
      </c>
      <c r="E217" s="20">
        <v>5.8764599999999998</v>
      </c>
      <c r="F217" s="20">
        <f t="shared" si="12"/>
        <v>440.73449999999997</v>
      </c>
      <c r="G217" s="20">
        <f t="shared" si="15"/>
        <v>2.2036724999999997</v>
      </c>
      <c r="H217" s="20">
        <f>AVERAGE(D215:D217)</f>
        <v>0.18932579999999999</v>
      </c>
      <c r="I217" s="20">
        <f>AVERAGE(E215:E217)</f>
        <v>5.8679533333333325</v>
      </c>
    </row>
    <row r="218" spans="1:9" x14ac:dyDescent="0.4">
      <c r="A218">
        <v>59</v>
      </c>
      <c r="B218" s="20">
        <v>2.8738600000000001</v>
      </c>
      <c r="C218" s="20">
        <f t="shared" si="13"/>
        <v>8.6215799999999998</v>
      </c>
      <c r="D218" s="20">
        <f t="shared" si="14"/>
        <v>4.3107899999999998E-2</v>
      </c>
      <c r="E218" s="20">
        <v>2.1338699999999999</v>
      </c>
      <c r="F218" s="20">
        <f t="shared" si="12"/>
        <v>160.04024999999999</v>
      </c>
      <c r="G218" s="20">
        <f t="shared" si="15"/>
        <v>0.80020124999999998</v>
      </c>
    </row>
    <row r="219" spans="1:9" x14ac:dyDescent="0.4">
      <c r="A219">
        <v>59</v>
      </c>
      <c r="B219" s="20">
        <v>2.8738600000000001</v>
      </c>
      <c r="C219" s="20">
        <f t="shared" si="13"/>
        <v>8.6215799999999998</v>
      </c>
      <c r="D219" s="20">
        <f t="shared" si="14"/>
        <v>4.3107899999999998E-2</v>
      </c>
      <c r="E219" s="20">
        <v>2.12487</v>
      </c>
      <c r="F219" s="20">
        <f t="shared" si="12"/>
        <v>159.36525</v>
      </c>
      <c r="G219" s="20">
        <f t="shared" si="15"/>
        <v>0.79682625000000007</v>
      </c>
    </row>
    <row r="220" spans="1:9" x14ac:dyDescent="0.4">
      <c r="A220">
        <v>59</v>
      </c>
      <c r="B220" s="20">
        <v>2.8643399999999999</v>
      </c>
      <c r="C220" s="20">
        <f t="shared" si="13"/>
        <v>8.5930199999999992</v>
      </c>
      <c r="D220" s="20">
        <f t="shared" si="14"/>
        <v>4.2965099999999992E-2</v>
      </c>
      <c r="E220" s="20">
        <v>2.1203599999999998</v>
      </c>
      <c r="F220" s="20">
        <f t="shared" si="12"/>
        <v>159.02699999999999</v>
      </c>
      <c r="G220" s="20">
        <f t="shared" si="15"/>
        <v>0.79513500000000004</v>
      </c>
      <c r="H220" s="20">
        <f>AVERAGE(D218:D220)</f>
        <v>4.3060299999999996E-2</v>
      </c>
      <c r="I220" s="20">
        <f>AVERAGE(E218:E220)</f>
        <v>2.1263666666666663</v>
      </c>
    </row>
    <row r="221" spans="1:9" x14ac:dyDescent="0.4">
      <c r="A221">
        <v>61</v>
      </c>
      <c r="B221" s="20">
        <v>2.4833099999999999</v>
      </c>
      <c r="C221" s="20">
        <f t="shared" si="13"/>
        <v>7.4499300000000002</v>
      </c>
      <c r="D221" s="20">
        <f t="shared" si="14"/>
        <v>3.7249650000000002E-2</v>
      </c>
      <c r="E221" s="20">
        <v>3.5675599999999998</v>
      </c>
      <c r="F221" s="20">
        <f t="shared" si="12"/>
        <v>267.56700000000001</v>
      </c>
      <c r="G221" s="20">
        <f t="shared" si="15"/>
        <v>1.3378350000000001</v>
      </c>
    </row>
    <row r="222" spans="1:9" x14ac:dyDescent="0.4">
      <c r="A222">
        <v>61</v>
      </c>
      <c r="B222" s="20">
        <v>2.43092</v>
      </c>
      <c r="C222" s="20">
        <f t="shared" si="13"/>
        <v>7.2927599999999995</v>
      </c>
      <c r="D222" s="20">
        <f t="shared" si="14"/>
        <v>3.6463799999999998E-2</v>
      </c>
      <c r="E222" s="20">
        <v>3.5255200000000002</v>
      </c>
      <c r="F222" s="20">
        <f t="shared" si="12"/>
        <v>264.41399999999999</v>
      </c>
      <c r="G222" s="20">
        <f t="shared" si="15"/>
        <v>1.3220699999999999</v>
      </c>
    </row>
    <row r="223" spans="1:9" x14ac:dyDescent="0.4">
      <c r="A223">
        <v>61</v>
      </c>
      <c r="B223" s="20">
        <v>2.4547400000000001</v>
      </c>
      <c r="C223" s="20">
        <f t="shared" si="13"/>
        <v>7.3642200000000004</v>
      </c>
      <c r="D223" s="20">
        <f t="shared" si="14"/>
        <v>3.6821100000000002E-2</v>
      </c>
      <c r="E223" s="20">
        <v>3.5435400000000001</v>
      </c>
      <c r="F223" s="20">
        <f t="shared" si="12"/>
        <v>265.76550000000003</v>
      </c>
      <c r="G223" s="20">
        <f t="shared" si="15"/>
        <v>1.3288275000000001</v>
      </c>
      <c r="H223" s="20">
        <f>AVERAGE(D221:D223)</f>
        <v>3.6844850000000005E-2</v>
      </c>
      <c r="I223" s="20">
        <f>AVERAGE(E221:E223)</f>
        <v>3.5455400000000004</v>
      </c>
    </row>
    <row r="224" spans="1:9" x14ac:dyDescent="0.4">
      <c r="A224">
        <v>62</v>
      </c>
      <c r="B224" s="20">
        <v>2.23089</v>
      </c>
      <c r="C224" s="20">
        <f t="shared" si="13"/>
        <v>6.6926699999999997</v>
      </c>
      <c r="D224" s="20">
        <f t="shared" si="14"/>
        <v>3.3463349999999996E-2</v>
      </c>
      <c r="E224" s="20">
        <v>2.6668099999999999</v>
      </c>
      <c r="F224" s="20">
        <f t="shared" si="12"/>
        <v>200.01075</v>
      </c>
      <c r="G224" s="20">
        <f t="shared" si="15"/>
        <v>1.00005375</v>
      </c>
    </row>
    <row r="225" spans="1:9" x14ac:dyDescent="0.4">
      <c r="A225">
        <v>62</v>
      </c>
      <c r="B225" s="20">
        <v>2.2785099999999998</v>
      </c>
      <c r="C225" s="20">
        <f t="shared" si="13"/>
        <v>6.8355299999999994</v>
      </c>
      <c r="D225" s="20">
        <f t="shared" si="14"/>
        <v>3.4177649999999997E-2</v>
      </c>
      <c r="E225" s="20">
        <v>2.6562999999999999</v>
      </c>
      <c r="F225" s="20">
        <f t="shared" si="12"/>
        <v>199.2225</v>
      </c>
      <c r="G225" s="20">
        <f t="shared" si="15"/>
        <v>0.99611249999999996</v>
      </c>
    </row>
    <row r="226" spans="1:9" x14ac:dyDescent="0.4">
      <c r="A226">
        <v>62</v>
      </c>
      <c r="B226" s="20">
        <v>2.2689900000000001</v>
      </c>
      <c r="C226" s="20">
        <f t="shared" si="13"/>
        <v>6.8069699999999997</v>
      </c>
      <c r="D226" s="20">
        <f t="shared" si="14"/>
        <v>3.4034849999999998E-2</v>
      </c>
      <c r="E226" s="20">
        <v>2.6818300000000002</v>
      </c>
      <c r="F226" s="20">
        <f t="shared" si="12"/>
        <v>201.13725000000002</v>
      </c>
      <c r="G226" s="20">
        <f t="shared" si="15"/>
        <v>1.0056862500000001</v>
      </c>
      <c r="H226" s="20">
        <f>AVERAGE(D224:D226)</f>
        <v>3.3891949999999997E-2</v>
      </c>
      <c r="I226" s="20">
        <f>AVERAGE(E224:E226)</f>
        <v>2.6683133333333333</v>
      </c>
    </row>
    <row r="227" spans="1:9" x14ac:dyDescent="0.4">
      <c r="A227">
        <v>63</v>
      </c>
      <c r="B227" s="20">
        <v>2.10229</v>
      </c>
      <c r="C227" s="20">
        <f t="shared" si="13"/>
        <v>6.30687</v>
      </c>
      <c r="D227" s="20">
        <f t="shared" si="14"/>
        <v>3.1534350000000003E-2</v>
      </c>
      <c r="E227" s="20">
        <v>2.36957</v>
      </c>
      <c r="F227" s="20">
        <f t="shared" si="12"/>
        <v>177.71775</v>
      </c>
      <c r="G227" s="20">
        <f t="shared" si="15"/>
        <v>0.88858875000000004</v>
      </c>
    </row>
    <row r="228" spans="1:9" x14ac:dyDescent="0.4">
      <c r="A228">
        <v>63</v>
      </c>
      <c r="B228" s="20">
        <v>2.1070500000000001</v>
      </c>
      <c r="C228" s="20">
        <f t="shared" si="13"/>
        <v>6.3211500000000003</v>
      </c>
      <c r="D228" s="20">
        <f t="shared" si="14"/>
        <v>3.1605750000000002E-2</v>
      </c>
      <c r="E228" s="20">
        <v>2.3740700000000001</v>
      </c>
      <c r="F228" s="20">
        <f t="shared" si="12"/>
        <v>178.05525</v>
      </c>
      <c r="G228" s="20">
        <f t="shared" si="15"/>
        <v>0.89027624999999999</v>
      </c>
    </row>
    <row r="229" spans="1:9" x14ac:dyDescent="0.4">
      <c r="A229">
        <v>63</v>
      </c>
      <c r="B229" s="20">
        <v>2.10229</v>
      </c>
      <c r="C229" s="20">
        <f t="shared" si="13"/>
        <v>6.30687</v>
      </c>
      <c r="D229" s="20">
        <f t="shared" si="14"/>
        <v>3.1534350000000003E-2</v>
      </c>
      <c r="E229" s="20">
        <v>2.3545600000000002</v>
      </c>
      <c r="F229" s="20">
        <f t="shared" si="12"/>
        <v>176.59200000000001</v>
      </c>
      <c r="G229" s="20">
        <f t="shared" si="15"/>
        <v>0.88296000000000008</v>
      </c>
      <c r="H229" s="20">
        <f>AVERAGE(D227:D229)</f>
        <v>3.155815E-2</v>
      </c>
      <c r="I229" s="20">
        <f>AVERAGE(E227:E229)</f>
        <v>2.3660666666666668</v>
      </c>
    </row>
    <row r="230" spans="1:9" x14ac:dyDescent="0.4">
      <c r="A230">
        <v>64</v>
      </c>
      <c r="B230" s="20">
        <v>2.0927699999999998</v>
      </c>
      <c r="C230" s="20">
        <f t="shared" si="13"/>
        <v>6.2783099999999994</v>
      </c>
      <c r="D230" s="20">
        <f t="shared" si="14"/>
        <v>3.1391549999999997E-2</v>
      </c>
      <c r="E230" s="20">
        <v>2.8184399999999998</v>
      </c>
      <c r="F230" s="20">
        <f t="shared" si="12"/>
        <v>211.38299999999998</v>
      </c>
      <c r="G230" s="20">
        <f t="shared" si="15"/>
        <v>1.056915</v>
      </c>
    </row>
    <row r="231" spans="1:9" x14ac:dyDescent="0.4">
      <c r="A231">
        <v>64</v>
      </c>
      <c r="B231" s="20">
        <v>2.1165799999999999</v>
      </c>
      <c r="C231" s="20">
        <f t="shared" si="13"/>
        <v>6.3497399999999997</v>
      </c>
      <c r="D231" s="20">
        <f t="shared" si="14"/>
        <v>3.1748699999999998E-2</v>
      </c>
      <c r="E231" s="20">
        <v>2.7989199999999999</v>
      </c>
      <c r="F231" s="20">
        <f t="shared" si="12"/>
        <v>209.91899999999998</v>
      </c>
      <c r="G231" s="20">
        <f t="shared" si="15"/>
        <v>1.0495949999999998</v>
      </c>
    </row>
    <row r="232" spans="1:9" x14ac:dyDescent="0.4">
      <c r="A232">
        <v>64</v>
      </c>
      <c r="B232" s="20">
        <v>2.0927699999999998</v>
      </c>
      <c r="C232" s="20">
        <f t="shared" si="13"/>
        <v>6.2783099999999994</v>
      </c>
      <c r="D232" s="20">
        <f t="shared" si="14"/>
        <v>3.1391549999999997E-2</v>
      </c>
      <c r="E232" s="20">
        <v>2.8034300000000001</v>
      </c>
      <c r="F232" s="20">
        <f t="shared" si="12"/>
        <v>210.25725</v>
      </c>
      <c r="G232" s="20">
        <f t="shared" si="15"/>
        <v>1.0512862500000002</v>
      </c>
      <c r="H232" s="20">
        <f>AVERAGE(D230:D232)</f>
        <v>3.15106E-2</v>
      </c>
      <c r="I232" s="20">
        <f>AVERAGE(E230:E232)</f>
        <v>2.8069299999999999</v>
      </c>
    </row>
    <row r="233" spans="1:9" x14ac:dyDescent="0.4">
      <c r="A233">
        <v>65</v>
      </c>
      <c r="B233" s="20">
        <v>2.3642400000000001</v>
      </c>
      <c r="C233" s="20">
        <f t="shared" si="13"/>
        <v>7.0927199999999999</v>
      </c>
      <c r="D233" s="20">
        <f t="shared" si="14"/>
        <v>3.5463599999999998E-2</v>
      </c>
      <c r="E233" s="20">
        <v>3.0211100000000002</v>
      </c>
      <c r="F233" s="20">
        <f t="shared" si="12"/>
        <v>226.58325000000002</v>
      </c>
      <c r="G233" s="20">
        <f t="shared" si="15"/>
        <v>1.1329162500000003</v>
      </c>
    </row>
    <row r="234" spans="1:9" x14ac:dyDescent="0.4">
      <c r="A234">
        <v>65</v>
      </c>
      <c r="B234" s="20">
        <v>2.3451900000000001</v>
      </c>
      <c r="C234" s="20">
        <f t="shared" si="13"/>
        <v>7.0355699999999999</v>
      </c>
      <c r="D234" s="20">
        <f t="shared" si="14"/>
        <v>3.5177849999999997E-2</v>
      </c>
      <c r="E234" s="20">
        <v>3.0421200000000002</v>
      </c>
      <c r="F234" s="20">
        <f t="shared" si="12"/>
        <v>228.15900000000002</v>
      </c>
      <c r="G234" s="20">
        <f t="shared" si="15"/>
        <v>1.140795</v>
      </c>
    </row>
    <row r="235" spans="1:9" x14ac:dyDescent="0.4">
      <c r="A235">
        <v>65</v>
      </c>
      <c r="B235" s="20">
        <v>2.3166199999999999</v>
      </c>
      <c r="C235" s="20">
        <f t="shared" si="13"/>
        <v>6.9498599999999993</v>
      </c>
      <c r="D235" s="20">
        <f t="shared" si="14"/>
        <v>3.4749299999999997E-2</v>
      </c>
      <c r="E235" s="20">
        <v>3.0211100000000002</v>
      </c>
      <c r="F235" s="20">
        <f t="shared" si="12"/>
        <v>226.58325000000002</v>
      </c>
      <c r="G235" s="20">
        <f t="shared" si="15"/>
        <v>1.1329162500000003</v>
      </c>
      <c r="H235" s="20">
        <f>AVERAGE(D233:D235)</f>
        <v>3.5130249999999995E-2</v>
      </c>
      <c r="I235" s="20">
        <f>AVERAGE(E233:E235)</f>
        <v>3.0281133333333337</v>
      </c>
    </row>
    <row r="236" spans="1:9" x14ac:dyDescent="0.4">
      <c r="A236">
        <v>66</v>
      </c>
      <c r="B236" s="20">
        <v>2.3928199999999999</v>
      </c>
      <c r="C236" s="20">
        <f t="shared" si="13"/>
        <v>7.1784599999999994</v>
      </c>
      <c r="D236" s="20">
        <f t="shared" si="14"/>
        <v>3.5892300000000002E-2</v>
      </c>
      <c r="E236" s="20">
        <v>2.6863299999999999</v>
      </c>
      <c r="F236" s="20">
        <f t="shared" si="12"/>
        <v>201.47475</v>
      </c>
      <c r="G236" s="20">
        <f t="shared" si="15"/>
        <v>1.00737375</v>
      </c>
    </row>
    <row r="237" spans="1:9" x14ac:dyDescent="0.4">
      <c r="A237">
        <v>66</v>
      </c>
      <c r="B237" s="20">
        <v>2.4023500000000002</v>
      </c>
      <c r="C237" s="20">
        <f t="shared" si="13"/>
        <v>7.2070500000000006</v>
      </c>
      <c r="D237" s="20">
        <f t="shared" si="14"/>
        <v>3.6035250000000005E-2</v>
      </c>
      <c r="E237" s="20">
        <v>2.7133500000000002</v>
      </c>
      <c r="F237" s="20">
        <f t="shared" si="12"/>
        <v>203.50125</v>
      </c>
      <c r="G237" s="20">
        <f t="shared" si="15"/>
        <v>1.0175062500000001</v>
      </c>
    </row>
    <row r="238" spans="1:9" x14ac:dyDescent="0.4">
      <c r="A238">
        <v>66</v>
      </c>
      <c r="B238" s="20">
        <v>2.4071099999999999</v>
      </c>
      <c r="C238" s="20">
        <f t="shared" si="13"/>
        <v>7.22133</v>
      </c>
      <c r="D238" s="20">
        <f t="shared" si="14"/>
        <v>3.6106650000000004E-2</v>
      </c>
      <c r="E238" s="20">
        <v>2.7553899999999998</v>
      </c>
      <c r="F238" s="20">
        <f t="shared" si="12"/>
        <v>206.65424999999999</v>
      </c>
      <c r="G238" s="20">
        <f t="shared" si="15"/>
        <v>1.0332712500000001</v>
      </c>
      <c r="H238" s="20">
        <f>AVERAGE(D236:D238)</f>
        <v>3.6011400000000006E-2</v>
      </c>
      <c r="I238" s="20">
        <f>AVERAGE(E236:E238)</f>
        <v>2.7183566666666668</v>
      </c>
    </row>
    <row r="239" spans="1:9" x14ac:dyDescent="0.4">
      <c r="A239">
        <v>67</v>
      </c>
      <c r="B239" s="20">
        <v>2.04514</v>
      </c>
      <c r="C239" s="20">
        <f t="shared" si="13"/>
        <v>6.1354199999999999</v>
      </c>
      <c r="D239" s="20">
        <f t="shared" si="14"/>
        <v>3.0677099999999999E-2</v>
      </c>
      <c r="E239" s="20">
        <v>2.8514699999999999</v>
      </c>
      <c r="F239" s="20">
        <f t="shared" si="12"/>
        <v>213.86025000000001</v>
      </c>
      <c r="G239" s="20">
        <f t="shared" si="15"/>
        <v>1.0693012500000001</v>
      </c>
    </row>
    <row r="240" spans="1:9" x14ac:dyDescent="0.4">
      <c r="A240">
        <v>67</v>
      </c>
      <c r="B240" s="20">
        <v>2.0927699999999998</v>
      </c>
      <c r="C240" s="20">
        <f t="shared" si="13"/>
        <v>6.2783099999999994</v>
      </c>
      <c r="D240" s="20">
        <f t="shared" si="14"/>
        <v>3.1391549999999997E-2</v>
      </c>
      <c r="E240" s="20">
        <v>2.8829899999999999</v>
      </c>
      <c r="F240" s="20">
        <f t="shared" si="12"/>
        <v>216.22424999999998</v>
      </c>
      <c r="G240" s="20">
        <f t="shared" si="15"/>
        <v>1.0811212499999998</v>
      </c>
    </row>
    <row r="241" spans="1:9" x14ac:dyDescent="0.4">
      <c r="A241">
        <v>67</v>
      </c>
      <c r="B241" s="20">
        <v>2.0927699999999998</v>
      </c>
      <c r="C241" s="20">
        <f t="shared" si="13"/>
        <v>6.2783099999999994</v>
      </c>
      <c r="D241" s="20">
        <f t="shared" si="14"/>
        <v>3.1391549999999997E-2</v>
      </c>
      <c r="E241" s="20">
        <v>2.8784900000000002</v>
      </c>
      <c r="F241" s="20">
        <f t="shared" si="12"/>
        <v>215.88675000000001</v>
      </c>
      <c r="G241" s="20">
        <f t="shared" si="15"/>
        <v>1.0794337500000002</v>
      </c>
      <c r="H241" s="20">
        <f>AVERAGE(D239:D241)</f>
        <v>3.1153399999999998E-2</v>
      </c>
      <c r="I241" s="20">
        <f>AVERAGE(E239:E241)</f>
        <v>2.8709833333333337</v>
      </c>
    </row>
    <row r="242" spans="1:9" x14ac:dyDescent="0.4">
      <c r="A242">
        <v>68</v>
      </c>
      <c r="B242" s="20">
        <v>3.0977199999999998</v>
      </c>
      <c r="C242" s="20">
        <f t="shared" si="13"/>
        <v>9.2931600000000003</v>
      </c>
      <c r="D242" s="20">
        <f t="shared" si="14"/>
        <v>4.6465800000000002E-2</v>
      </c>
      <c r="E242" s="20">
        <v>3.9443700000000002</v>
      </c>
      <c r="F242" s="20">
        <f t="shared" si="12"/>
        <v>295.82775000000004</v>
      </c>
      <c r="G242" s="20">
        <f t="shared" si="15"/>
        <v>1.4791387500000002</v>
      </c>
    </row>
    <row r="243" spans="1:9" x14ac:dyDescent="0.4">
      <c r="A243">
        <v>68</v>
      </c>
      <c r="B243" s="20">
        <v>3.1501100000000002</v>
      </c>
      <c r="C243" s="20">
        <f t="shared" si="13"/>
        <v>9.450330000000001</v>
      </c>
      <c r="D243" s="20">
        <f t="shared" si="14"/>
        <v>4.7251650000000006E-2</v>
      </c>
      <c r="E243" s="20">
        <v>3.9503699999999999</v>
      </c>
      <c r="F243" s="20">
        <f t="shared" si="12"/>
        <v>296.27774999999997</v>
      </c>
      <c r="G243" s="20">
        <f t="shared" si="15"/>
        <v>1.4813887499999998</v>
      </c>
    </row>
    <row r="244" spans="1:9" x14ac:dyDescent="0.4">
      <c r="A244">
        <v>68</v>
      </c>
      <c r="B244" s="20">
        <v>3.2025000000000001</v>
      </c>
      <c r="C244" s="20">
        <f t="shared" si="13"/>
        <v>9.6074999999999999</v>
      </c>
      <c r="D244" s="20">
        <f t="shared" si="14"/>
        <v>4.8037500000000004E-2</v>
      </c>
      <c r="E244" s="20">
        <v>3.9819</v>
      </c>
      <c r="F244" s="20">
        <f t="shared" si="12"/>
        <v>298.64249999999998</v>
      </c>
      <c r="G244" s="20">
        <f t="shared" si="15"/>
        <v>1.4932124999999998</v>
      </c>
      <c r="H244" s="20">
        <f>AVERAGE(D242:D244)</f>
        <v>4.7251650000000006E-2</v>
      </c>
      <c r="I244" s="20">
        <f>AVERAGE(E242:E244)</f>
        <v>3.9588800000000002</v>
      </c>
    </row>
    <row r="245" spans="1:9" x14ac:dyDescent="0.4">
      <c r="A245">
        <v>69</v>
      </c>
      <c r="B245" s="20">
        <v>4.1407699999999998</v>
      </c>
      <c r="C245" s="20">
        <f t="shared" si="13"/>
        <v>12.42231</v>
      </c>
      <c r="D245" s="20">
        <f t="shared" si="14"/>
        <v>6.2111549999999995E-2</v>
      </c>
      <c r="E245" s="20">
        <v>5.4155800000000003</v>
      </c>
      <c r="F245" s="20">
        <f t="shared" si="12"/>
        <v>406.16849999999999</v>
      </c>
      <c r="G245" s="20">
        <f t="shared" si="15"/>
        <v>2.0308424999999999</v>
      </c>
    </row>
    <row r="246" spans="1:9" x14ac:dyDescent="0.4">
      <c r="A246">
        <v>69</v>
      </c>
      <c r="B246" s="20">
        <v>4.2360199999999999</v>
      </c>
      <c r="C246" s="20">
        <f t="shared" si="13"/>
        <v>12.70806</v>
      </c>
      <c r="D246" s="20">
        <f t="shared" si="14"/>
        <v>6.3540300000000008E-2</v>
      </c>
      <c r="E246" s="20">
        <v>5.4951499999999998</v>
      </c>
      <c r="F246" s="20">
        <f t="shared" si="12"/>
        <v>412.13624999999996</v>
      </c>
      <c r="G246" s="20">
        <f t="shared" si="15"/>
        <v>2.0606812499999996</v>
      </c>
    </row>
    <row r="247" spans="1:9" x14ac:dyDescent="0.4">
      <c r="A247">
        <v>69</v>
      </c>
      <c r="B247" s="20">
        <v>4.3026999999999997</v>
      </c>
      <c r="C247" s="20">
        <f t="shared" si="13"/>
        <v>12.908099999999999</v>
      </c>
      <c r="D247" s="20">
        <f t="shared" si="14"/>
        <v>6.4540500000000001E-2</v>
      </c>
      <c r="E247" s="20">
        <v>5.5431900000000001</v>
      </c>
      <c r="F247" s="20">
        <f t="shared" si="12"/>
        <v>415.73925000000003</v>
      </c>
      <c r="G247" s="20">
        <f t="shared" si="15"/>
        <v>2.0786962500000001</v>
      </c>
      <c r="H247" s="20">
        <f>AVERAGE(D245:D247)</f>
        <v>6.3397450000000008E-2</v>
      </c>
      <c r="I247" s="20">
        <f>AVERAGE(E245:E247)</f>
        <v>5.4846399999999997</v>
      </c>
    </row>
    <row r="248" spans="1:9" x14ac:dyDescent="0.4">
      <c r="A248">
        <v>71</v>
      </c>
      <c r="B248" s="20">
        <v>2.26423</v>
      </c>
      <c r="C248" s="20">
        <f t="shared" si="13"/>
        <v>6.7926900000000003</v>
      </c>
      <c r="D248" s="20">
        <f t="shared" si="14"/>
        <v>3.3963449999999999E-2</v>
      </c>
      <c r="E248" s="20">
        <v>1.5844199999999999</v>
      </c>
      <c r="F248" s="20">
        <f t="shared" si="12"/>
        <v>118.83149999999999</v>
      </c>
      <c r="G248" s="20">
        <f t="shared" si="15"/>
        <v>0.59415749999999989</v>
      </c>
    </row>
    <row r="249" spans="1:9" x14ac:dyDescent="0.4">
      <c r="A249">
        <v>71</v>
      </c>
      <c r="B249" s="20">
        <v>2.2928000000000002</v>
      </c>
      <c r="C249" s="20">
        <f t="shared" si="13"/>
        <v>6.878400000000001</v>
      </c>
      <c r="D249" s="20">
        <f t="shared" si="14"/>
        <v>3.4392000000000006E-2</v>
      </c>
      <c r="E249" s="20">
        <v>1.5934299999999999</v>
      </c>
      <c r="F249" s="20">
        <f t="shared" si="12"/>
        <v>119.50725</v>
      </c>
      <c r="G249" s="20">
        <f t="shared" si="15"/>
        <v>0.59753624999999999</v>
      </c>
    </row>
    <row r="250" spans="1:9" x14ac:dyDescent="0.4">
      <c r="A250">
        <v>71</v>
      </c>
      <c r="B250" s="20">
        <v>2.2928000000000002</v>
      </c>
      <c r="C250" s="20">
        <f t="shared" si="13"/>
        <v>6.878400000000001</v>
      </c>
      <c r="D250" s="20">
        <f t="shared" si="14"/>
        <v>3.4392000000000006E-2</v>
      </c>
      <c r="E250" s="20">
        <v>1.5934299999999999</v>
      </c>
      <c r="F250" s="20">
        <f t="shared" si="12"/>
        <v>119.50725</v>
      </c>
      <c r="G250" s="20">
        <f t="shared" si="15"/>
        <v>0.59753624999999999</v>
      </c>
      <c r="H250" s="20">
        <f>AVERAGE(D248:D250)</f>
        <v>3.4249150000000006E-2</v>
      </c>
      <c r="I250" s="20">
        <f>AVERAGE(E248:E250)</f>
        <v>1.5904266666666667</v>
      </c>
    </row>
    <row r="251" spans="1:9" x14ac:dyDescent="0.4">
      <c r="A251">
        <v>72</v>
      </c>
      <c r="B251" s="20">
        <v>1.77366</v>
      </c>
      <c r="C251" s="20">
        <f t="shared" si="13"/>
        <v>5.3209800000000005</v>
      </c>
      <c r="D251" s="20">
        <f t="shared" si="14"/>
        <v>2.6604900000000001E-2</v>
      </c>
      <c r="E251" s="20">
        <v>1.2091099999999999</v>
      </c>
      <c r="F251" s="20">
        <f t="shared" si="12"/>
        <v>90.683249999999987</v>
      </c>
      <c r="G251" s="20">
        <f t="shared" si="15"/>
        <v>0.45341624999999991</v>
      </c>
    </row>
    <row r="252" spans="1:9" x14ac:dyDescent="0.4">
      <c r="A252">
        <v>72</v>
      </c>
      <c r="B252" s="20">
        <v>1.7593700000000001</v>
      </c>
      <c r="C252" s="20">
        <f t="shared" si="13"/>
        <v>5.2781099999999999</v>
      </c>
      <c r="D252" s="20">
        <f t="shared" si="14"/>
        <v>2.6390549999999999E-2</v>
      </c>
      <c r="E252" s="20">
        <v>1.53938</v>
      </c>
      <c r="F252" s="20">
        <f t="shared" si="12"/>
        <v>115.45349999999999</v>
      </c>
      <c r="G252" s="20">
        <f t="shared" si="15"/>
        <v>0.57726749999999993</v>
      </c>
    </row>
    <row r="253" spans="1:9" x14ac:dyDescent="0.4">
      <c r="A253">
        <v>72</v>
      </c>
      <c r="B253" s="20">
        <v>1.7879499999999999</v>
      </c>
      <c r="C253" s="20">
        <f t="shared" si="13"/>
        <v>5.3638499999999993</v>
      </c>
      <c r="D253" s="20">
        <f t="shared" si="14"/>
        <v>2.6819249999999996E-2</v>
      </c>
      <c r="E253" s="20">
        <v>1.57091</v>
      </c>
      <c r="F253" s="20">
        <f t="shared" si="12"/>
        <v>117.81825000000001</v>
      </c>
      <c r="G253" s="20">
        <f t="shared" si="15"/>
        <v>0.58909125000000007</v>
      </c>
      <c r="H253" s="20">
        <f>AVERAGE(D251:D253)</f>
        <v>2.6604899999999997E-2</v>
      </c>
      <c r="I253" s="20">
        <f>AVERAGE(E251:E253)</f>
        <v>1.4398</v>
      </c>
    </row>
    <row r="254" spans="1:9" x14ac:dyDescent="0.4">
      <c r="A254">
        <v>73</v>
      </c>
      <c r="B254" s="20">
        <v>1.9070199999999999</v>
      </c>
      <c r="C254" s="20">
        <f t="shared" si="13"/>
        <v>5.7210599999999996</v>
      </c>
      <c r="D254" s="20">
        <f t="shared" si="14"/>
        <v>2.86053E-2</v>
      </c>
      <c r="E254" s="20">
        <v>1.9297</v>
      </c>
      <c r="F254" s="20">
        <f t="shared" si="12"/>
        <v>144.72749999999999</v>
      </c>
      <c r="G254" s="20">
        <f t="shared" si="15"/>
        <v>0.72363749999999993</v>
      </c>
    </row>
    <row r="255" spans="1:9" x14ac:dyDescent="0.4">
      <c r="A255">
        <v>73</v>
      </c>
      <c r="B255" s="20">
        <v>1.8832</v>
      </c>
      <c r="C255" s="20">
        <f t="shared" si="13"/>
        <v>5.6495999999999995</v>
      </c>
      <c r="D255" s="20">
        <f t="shared" si="14"/>
        <v>2.8247999999999999E-2</v>
      </c>
      <c r="E255" s="20">
        <v>1.93421</v>
      </c>
      <c r="F255" s="20">
        <f t="shared" si="12"/>
        <v>145.06575000000001</v>
      </c>
      <c r="G255" s="20">
        <f t="shared" si="15"/>
        <v>0.72532874999999997</v>
      </c>
    </row>
    <row r="256" spans="1:9" x14ac:dyDescent="0.4">
      <c r="A256">
        <v>73</v>
      </c>
      <c r="B256" s="20">
        <v>1.87368</v>
      </c>
      <c r="C256" s="20">
        <f t="shared" si="13"/>
        <v>5.6210399999999998</v>
      </c>
      <c r="D256" s="20">
        <f t="shared" si="14"/>
        <v>2.81052E-2</v>
      </c>
      <c r="E256" s="20">
        <v>1.9672400000000001</v>
      </c>
      <c r="F256" s="20">
        <f t="shared" si="12"/>
        <v>147.54300000000001</v>
      </c>
      <c r="G256" s="20">
        <f t="shared" si="15"/>
        <v>0.73771500000000001</v>
      </c>
      <c r="H256" s="20">
        <f>AVERAGE(D254:D256)</f>
        <v>2.8319499999999997E-2</v>
      </c>
      <c r="I256" s="20">
        <f>AVERAGE(E254:E256)</f>
        <v>1.9437166666666668</v>
      </c>
    </row>
    <row r="257" spans="1:9" x14ac:dyDescent="0.4">
      <c r="A257">
        <v>74</v>
      </c>
      <c r="B257" s="20">
        <v>1.8593900000000001</v>
      </c>
      <c r="C257" s="20">
        <f t="shared" si="13"/>
        <v>5.5781700000000001</v>
      </c>
      <c r="D257" s="20">
        <f t="shared" si="14"/>
        <v>2.7890850000000002E-2</v>
      </c>
      <c r="E257" s="20">
        <v>1.8411299999999999</v>
      </c>
      <c r="F257" s="20">
        <f t="shared" si="12"/>
        <v>138.08474999999999</v>
      </c>
      <c r="G257" s="20">
        <f t="shared" si="15"/>
        <v>0.69042374999999989</v>
      </c>
    </row>
    <row r="258" spans="1:9" x14ac:dyDescent="0.4">
      <c r="A258">
        <v>74</v>
      </c>
      <c r="B258" s="20">
        <v>1.8593900000000001</v>
      </c>
      <c r="C258" s="20">
        <f t="shared" si="13"/>
        <v>5.5781700000000001</v>
      </c>
      <c r="D258" s="20">
        <f t="shared" si="14"/>
        <v>2.7890850000000002E-2</v>
      </c>
      <c r="E258" s="20">
        <v>1.8456399999999999</v>
      </c>
      <c r="F258" s="20">
        <f t="shared" ref="F258:F321" si="16">+E258*75</f>
        <v>138.423</v>
      </c>
      <c r="G258" s="20">
        <f t="shared" si="15"/>
        <v>0.69211500000000004</v>
      </c>
    </row>
    <row r="259" spans="1:9" x14ac:dyDescent="0.4">
      <c r="A259">
        <v>74</v>
      </c>
      <c r="B259" s="20">
        <v>1.9070199999999999</v>
      </c>
      <c r="C259" s="20">
        <f t="shared" ref="C259:C322" si="17">+B259*3</f>
        <v>5.7210599999999996</v>
      </c>
      <c r="D259" s="20">
        <f t="shared" ref="D259:D322" si="18">C259*5/1000</f>
        <v>2.86053E-2</v>
      </c>
      <c r="E259" s="20">
        <v>1.85164</v>
      </c>
      <c r="F259" s="20">
        <f t="shared" si="16"/>
        <v>138.87299999999999</v>
      </c>
      <c r="G259" s="20">
        <f t="shared" ref="G259:G322" si="19">F259*5/1000</f>
        <v>0.69436500000000001</v>
      </c>
      <c r="H259" s="20">
        <f>AVERAGE(D257:D259)</f>
        <v>2.8129000000000001E-2</v>
      </c>
      <c r="I259" s="20">
        <f>AVERAGE(E257:E259)</f>
        <v>1.8461366666666665</v>
      </c>
    </row>
    <row r="260" spans="1:9" x14ac:dyDescent="0.4">
      <c r="A260">
        <v>75</v>
      </c>
      <c r="B260" s="20">
        <v>1.71174</v>
      </c>
      <c r="C260" s="20">
        <f t="shared" si="17"/>
        <v>5.1352200000000003</v>
      </c>
      <c r="D260" s="20">
        <f t="shared" si="18"/>
        <v>2.56761E-2</v>
      </c>
      <c r="E260" s="20">
        <v>1.60694</v>
      </c>
      <c r="F260" s="20">
        <f t="shared" si="16"/>
        <v>120.5205</v>
      </c>
      <c r="G260" s="20">
        <f t="shared" si="19"/>
        <v>0.60260249999999993</v>
      </c>
    </row>
    <row r="261" spans="1:9" x14ac:dyDescent="0.4">
      <c r="A261">
        <v>75</v>
      </c>
      <c r="B261" s="20">
        <v>1.74508</v>
      </c>
      <c r="C261" s="20">
        <f t="shared" si="17"/>
        <v>5.2352400000000001</v>
      </c>
      <c r="D261" s="20">
        <f t="shared" si="18"/>
        <v>2.61762E-2</v>
      </c>
      <c r="E261" s="20">
        <v>1.5979300000000001</v>
      </c>
      <c r="F261" s="20">
        <f t="shared" si="16"/>
        <v>119.84475</v>
      </c>
      <c r="G261" s="20">
        <f t="shared" si="19"/>
        <v>0.59922374999999994</v>
      </c>
    </row>
    <row r="262" spans="1:9" x14ac:dyDescent="0.4">
      <c r="A262">
        <v>75</v>
      </c>
      <c r="B262" s="20">
        <v>1.77366</v>
      </c>
      <c r="C262" s="20">
        <f t="shared" si="17"/>
        <v>5.3209800000000005</v>
      </c>
      <c r="D262" s="20">
        <f t="shared" si="18"/>
        <v>2.6604900000000001E-2</v>
      </c>
      <c r="E262" s="20">
        <v>1.5979300000000001</v>
      </c>
      <c r="F262" s="20">
        <f t="shared" si="16"/>
        <v>119.84475</v>
      </c>
      <c r="G262" s="20">
        <f t="shared" si="19"/>
        <v>0.59922374999999994</v>
      </c>
      <c r="H262" s="20">
        <f>AVERAGE(D260:D262)</f>
        <v>2.6152400000000003E-2</v>
      </c>
      <c r="I262" s="20">
        <f>AVERAGE(E260:E262)</f>
        <v>1.6009333333333335</v>
      </c>
    </row>
    <row r="263" spans="1:9" x14ac:dyDescent="0.4">
      <c r="A263">
        <v>76</v>
      </c>
      <c r="B263" s="20">
        <v>1.3402400000000001</v>
      </c>
      <c r="C263" s="20">
        <f t="shared" si="17"/>
        <v>4.0207200000000007</v>
      </c>
      <c r="D263" s="20">
        <f t="shared" si="18"/>
        <v>2.0103600000000003E-2</v>
      </c>
      <c r="E263" s="20">
        <v>1.1265400000000001</v>
      </c>
      <c r="F263" s="20">
        <f t="shared" si="16"/>
        <v>84.490500000000011</v>
      </c>
      <c r="G263" s="20">
        <f t="shared" si="19"/>
        <v>0.42245250000000006</v>
      </c>
    </row>
    <row r="264" spans="1:9" x14ac:dyDescent="0.4">
      <c r="A264">
        <v>76</v>
      </c>
      <c r="B264" s="20">
        <v>1.4307399999999999</v>
      </c>
      <c r="C264" s="20">
        <f t="shared" si="17"/>
        <v>4.2922199999999995</v>
      </c>
      <c r="D264" s="20">
        <f t="shared" si="18"/>
        <v>2.1461099999999997E-2</v>
      </c>
      <c r="E264" s="20">
        <v>1.1220399999999999</v>
      </c>
      <c r="F264" s="20">
        <f t="shared" si="16"/>
        <v>84.152999999999992</v>
      </c>
      <c r="G264" s="20">
        <f t="shared" si="19"/>
        <v>0.420765</v>
      </c>
    </row>
    <row r="265" spans="1:9" x14ac:dyDescent="0.4">
      <c r="A265">
        <v>76</v>
      </c>
      <c r="B265" s="20">
        <v>1.4688399999999999</v>
      </c>
      <c r="C265" s="20">
        <f t="shared" si="17"/>
        <v>4.4065199999999995</v>
      </c>
      <c r="D265" s="20">
        <f t="shared" si="18"/>
        <v>2.2032599999999999E-2</v>
      </c>
      <c r="E265" s="20">
        <v>1.14306</v>
      </c>
      <c r="F265" s="20">
        <f t="shared" si="16"/>
        <v>85.729500000000002</v>
      </c>
      <c r="G265" s="20">
        <f t="shared" si="19"/>
        <v>0.42864750000000001</v>
      </c>
      <c r="H265" s="20">
        <f>AVERAGE(D263:D265)</f>
        <v>2.1199099999999999E-2</v>
      </c>
      <c r="I265" s="20">
        <f>AVERAGE(E263:E265)</f>
        <v>1.1305466666666666</v>
      </c>
    </row>
    <row r="266" spans="1:9" x14ac:dyDescent="0.4">
      <c r="A266">
        <v>77</v>
      </c>
      <c r="B266" s="20">
        <v>1.8069999999999999</v>
      </c>
      <c r="C266" s="20">
        <f t="shared" si="17"/>
        <v>5.4209999999999994</v>
      </c>
      <c r="D266" s="20">
        <f t="shared" si="18"/>
        <v>2.7104999999999997E-2</v>
      </c>
      <c r="E266" s="20">
        <v>1.82762</v>
      </c>
      <c r="F266" s="20">
        <f t="shared" si="16"/>
        <v>137.07150000000001</v>
      </c>
      <c r="G266" s="20">
        <f t="shared" si="19"/>
        <v>0.68535750000000006</v>
      </c>
    </row>
    <row r="267" spans="1:9" x14ac:dyDescent="0.4">
      <c r="A267">
        <v>77</v>
      </c>
      <c r="B267" s="20">
        <v>1.9070199999999999</v>
      </c>
      <c r="C267" s="20">
        <f t="shared" si="17"/>
        <v>5.7210599999999996</v>
      </c>
      <c r="D267" s="20">
        <f t="shared" si="18"/>
        <v>2.86053E-2</v>
      </c>
      <c r="E267" s="20">
        <v>1.8231200000000001</v>
      </c>
      <c r="F267" s="20">
        <f t="shared" si="16"/>
        <v>136.73400000000001</v>
      </c>
      <c r="G267" s="20">
        <f t="shared" si="19"/>
        <v>0.68367000000000011</v>
      </c>
    </row>
    <row r="268" spans="1:9" x14ac:dyDescent="0.4">
      <c r="A268">
        <v>77</v>
      </c>
      <c r="B268" s="20">
        <v>1.93083</v>
      </c>
      <c r="C268" s="20">
        <f t="shared" si="17"/>
        <v>5.7924899999999999</v>
      </c>
      <c r="D268" s="20">
        <f t="shared" si="18"/>
        <v>2.8962450000000001E-2</v>
      </c>
      <c r="E268" s="20">
        <v>1.8096099999999999</v>
      </c>
      <c r="F268" s="20">
        <f t="shared" si="16"/>
        <v>135.72075000000001</v>
      </c>
      <c r="G268" s="20">
        <f t="shared" si="19"/>
        <v>0.67860374999999995</v>
      </c>
      <c r="H268" s="20">
        <f>AVERAGE(D266:D268)</f>
        <v>2.8224249999999996E-2</v>
      </c>
      <c r="I268" s="20">
        <f>AVERAGE(E266:E268)</f>
        <v>1.8201166666666666</v>
      </c>
    </row>
    <row r="269" spans="1:9" x14ac:dyDescent="0.4">
      <c r="A269">
        <v>78</v>
      </c>
      <c r="B269" s="20">
        <v>1.67364</v>
      </c>
      <c r="C269" s="20">
        <f t="shared" si="17"/>
        <v>5.0209200000000003</v>
      </c>
      <c r="D269" s="20">
        <f t="shared" si="18"/>
        <v>2.5104600000000001E-2</v>
      </c>
      <c r="E269" s="20">
        <v>1.94021</v>
      </c>
      <c r="F269" s="20">
        <f t="shared" si="16"/>
        <v>145.51575</v>
      </c>
      <c r="G269" s="20">
        <f t="shared" si="19"/>
        <v>0.72757875000000005</v>
      </c>
    </row>
    <row r="270" spans="1:9" x14ac:dyDescent="0.4">
      <c r="A270">
        <v>78</v>
      </c>
      <c r="B270" s="20">
        <v>1.77366</v>
      </c>
      <c r="C270" s="20">
        <f t="shared" si="17"/>
        <v>5.3209800000000005</v>
      </c>
      <c r="D270" s="20">
        <f t="shared" si="18"/>
        <v>2.6604900000000001E-2</v>
      </c>
      <c r="E270" s="20">
        <v>1.93571</v>
      </c>
      <c r="F270" s="20">
        <f t="shared" si="16"/>
        <v>145.17824999999999</v>
      </c>
      <c r="G270" s="20">
        <f t="shared" si="19"/>
        <v>0.72589124999999988</v>
      </c>
    </row>
    <row r="271" spans="1:9" x14ac:dyDescent="0.4">
      <c r="A271">
        <v>78</v>
      </c>
      <c r="B271" s="20">
        <v>1.8069999999999999</v>
      </c>
      <c r="C271" s="20">
        <f t="shared" si="17"/>
        <v>5.4209999999999994</v>
      </c>
      <c r="D271" s="20">
        <f t="shared" si="18"/>
        <v>2.7104999999999997E-2</v>
      </c>
      <c r="E271" s="20">
        <v>1.94021</v>
      </c>
      <c r="F271" s="20">
        <f t="shared" si="16"/>
        <v>145.51575</v>
      </c>
      <c r="G271" s="20">
        <f t="shared" si="19"/>
        <v>0.72757875000000005</v>
      </c>
      <c r="H271" s="20">
        <f>AVERAGE(D269:D271)</f>
        <v>2.6271500000000003E-2</v>
      </c>
      <c r="I271" s="20">
        <f>AVERAGE(E269:E271)</f>
        <v>1.9387099999999997</v>
      </c>
    </row>
    <row r="272" spans="1:9" x14ac:dyDescent="0.4">
      <c r="A272">
        <v>79</v>
      </c>
      <c r="B272" s="20">
        <v>2.03085</v>
      </c>
      <c r="C272" s="20">
        <f t="shared" si="17"/>
        <v>6.0925500000000001</v>
      </c>
      <c r="D272" s="20">
        <f t="shared" si="18"/>
        <v>3.046275E-2</v>
      </c>
      <c r="E272" s="20">
        <v>1.8336300000000001</v>
      </c>
      <c r="F272" s="20">
        <f t="shared" si="16"/>
        <v>137.52225000000001</v>
      </c>
      <c r="G272" s="20">
        <f t="shared" si="19"/>
        <v>0.68761125000000001</v>
      </c>
    </row>
    <row r="273" spans="1:9" x14ac:dyDescent="0.4">
      <c r="A273">
        <v>79</v>
      </c>
      <c r="B273" s="20">
        <v>2.0546600000000002</v>
      </c>
      <c r="C273" s="20">
        <f t="shared" si="17"/>
        <v>6.1639800000000005</v>
      </c>
      <c r="D273" s="20">
        <f t="shared" si="18"/>
        <v>3.0819900000000004E-2</v>
      </c>
      <c r="E273" s="20">
        <v>1.84263</v>
      </c>
      <c r="F273" s="20">
        <f t="shared" si="16"/>
        <v>138.19725</v>
      </c>
      <c r="G273" s="20">
        <f t="shared" si="19"/>
        <v>0.69098624999999991</v>
      </c>
    </row>
    <row r="274" spans="1:9" x14ac:dyDescent="0.4">
      <c r="A274">
        <v>79</v>
      </c>
      <c r="B274" s="20">
        <v>2.0213199999999998</v>
      </c>
      <c r="C274" s="20">
        <f t="shared" si="17"/>
        <v>6.0639599999999998</v>
      </c>
      <c r="D274" s="20">
        <f t="shared" si="18"/>
        <v>3.0319800000000001E-2</v>
      </c>
      <c r="E274" s="20">
        <v>1.8006</v>
      </c>
      <c r="F274" s="20">
        <f t="shared" si="16"/>
        <v>135.04499999999999</v>
      </c>
      <c r="G274" s="20">
        <f t="shared" si="19"/>
        <v>0.67522499999999996</v>
      </c>
      <c r="H274" s="20">
        <f>AVERAGE(D272:D274)</f>
        <v>3.0534149999999999E-2</v>
      </c>
      <c r="I274" s="20">
        <f>AVERAGE(E272:E274)</f>
        <v>1.82562</v>
      </c>
    </row>
    <row r="275" spans="1:9" x14ac:dyDescent="0.4">
      <c r="A275">
        <v>81</v>
      </c>
      <c r="B275" s="20">
        <v>2.66906</v>
      </c>
      <c r="C275" s="20">
        <f t="shared" si="17"/>
        <v>8.00718</v>
      </c>
      <c r="D275" s="20">
        <f t="shared" si="18"/>
        <v>4.0035899999999999E-2</v>
      </c>
      <c r="E275" s="20">
        <v>2.9115099999999998</v>
      </c>
      <c r="F275" s="20">
        <f t="shared" si="16"/>
        <v>218.36324999999999</v>
      </c>
      <c r="G275" s="20">
        <f t="shared" si="19"/>
        <v>1.0918162499999999</v>
      </c>
    </row>
    <row r="276" spans="1:9" x14ac:dyDescent="0.4">
      <c r="A276">
        <v>81</v>
      </c>
      <c r="B276" s="20">
        <v>2.7452700000000001</v>
      </c>
      <c r="C276" s="20">
        <f t="shared" si="17"/>
        <v>8.2358100000000007</v>
      </c>
      <c r="D276" s="20">
        <f t="shared" si="18"/>
        <v>4.1179050000000002E-2</v>
      </c>
      <c r="E276" s="20">
        <v>2.9265300000000001</v>
      </c>
      <c r="F276" s="20">
        <f t="shared" si="16"/>
        <v>219.48975000000002</v>
      </c>
      <c r="G276" s="20">
        <f t="shared" si="19"/>
        <v>1.0974487500000001</v>
      </c>
    </row>
    <row r="277" spans="1:9" x14ac:dyDescent="0.4">
      <c r="A277">
        <v>81</v>
      </c>
      <c r="B277" s="20">
        <v>2.7262200000000001</v>
      </c>
      <c r="C277" s="20">
        <f t="shared" si="17"/>
        <v>8.1786600000000007</v>
      </c>
      <c r="D277" s="20">
        <f t="shared" si="18"/>
        <v>4.08933E-2</v>
      </c>
      <c r="E277" s="20">
        <v>2.9100100000000002</v>
      </c>
      <c r="F277" s="20">
        <f t="shared" si="16"/>
        <v>218.25075000000001</v>
      </c>
      <c r="G277" s="20">
        <f t="shared" si="19"/>
        <v>1.0912537500000001</v>
      </c>
      <c r="H277" s="20">
        <f>AVERAGE(D275:D277)</f>
        <v>4.0702750000000003E-2</v>
      </c>
      <c r="I277" s="20">
        <f>AVERAGE(E275:E277)</f>
        <v>2.9160166666666663</v>
      </c>
    </row>
    <row r="278" spans="1:9" x14ac:dyDescent="0.4">
      <c r="A278">
        <v>82</v>
      </c>
      <c r="B278" s="20">
        <v>3.2025000000000001</v>
      </c>
      <c r="C278" s="20">
        <f t="shared" si="17"/>
        <v>9.6074999999999999</v>
      </c>
      <c r="D278" s="20">
        <f t="shared" si="18"/>
        <v>4.8037500000000004E-2</v>
      </c>
      <c r="E278" s="20">
        <v>3.3078400000000001</v>
      </c>
      <c r="F278" s="20">
        <f t="shared" si="16"/>
        <v>248.08800000000002</v>
      </c>
      <c r="G278" s="20">
        <f t="shared" si="19"/>
        <v>1.24044</v>
      </c>
    </row>
    <row r="279" spans="1:9" x14ac:dyDescent="0.4">
      <c r="A279">
        <v>82</v>
      </c>
      <c r="B279" s="20">
        <v>3.1882100000000002</v>
      </c>
      <c r="C279" s="20">
        <f t="shared" si="17"/>
        <v>9.5646300000000011</v>
      </c>
      <c r="D279" s="20">
        <f t="shared" si="18"/>
        <v>4.7823150000000009E-2</v>
      </c>
      <c r="E279" s="20">
        <v>3.3078400000000001</v>
      </c>
      <c r="F279" s="20">
        <f t="shared" si="16"/>
        <v>248.08800000000002</v>
      </c>
      <c r="G279" s="20">
        <f t="shared" si="19"/>
        <v>1.24044</v>
      </c>
    </row>
    <row r="280" spans="1:9" x14ac:dyDescent="0.4">
      <c r="A280">
        <v>82</v>
      </c>
      <c r="B280" s="20">
        <v>3.2120199999999999</v>
      </c>
      <c r="C280" s="20">
        <f t="shared" si="17"/>
        <v>9.6360600000000005</v>
      </c>
      <c r="D280" s="20">
        <f t="shared" si="18"/>
        <v>4.8180300000000002E-2</v>
      </c>
      <c r="E280" s="20">
        <v>3.3483700000000001</v>
      </c>
      <c r="F280" s="20">
        <f t="shared" si="16"/>
        <v>251.12774999999999</v>
      </c>
      <c r="G280" s="20">
        <f t="shared" si="19"/>
        <v>1.2556387500000001</v>
      </c>
      <c r="H280" s="20">
        <f>AVERAGE(D278:D280)</f>
        <v>4.8013650000000012E-2</v>
      </c>
      <c r="I280" s="20">
        <f>AVERAGE(E278:E280)</f>
        <v>3.3213500000000002</v>
      </c>
    </row>
    <row r="281" spans="1:9" x14ac:dyDescent="0.4">
      <c r="A281">
        <v>83</v>
      </c>
      <c r="B281" s="20">
        <v>2.6976399999999998</v>
      </c>
      <c r="C281" s="20">
        <f t="shared" si="17"/>
        <v>8.0929199999999994</v>
      </c>
      <c r="D281" s="20">
        <f t="shared" si="18"/>
        <v>4.0464599999999996E-2</v>
      </c>
      <c r="E281" s="20">
        <v>2.47465</v>
      </c>
      <c r="F281" s="20">
        <f t="shared" si="16"/>
        <v>185.59875</v>
      </c>
      <c r="G281" s="20">
        <f t="shared" si="19"/>
        <v>0.92799374999999995</v>
      </c>
    </row>
    <row r="282" spans="1:9" x14ac:dyDescent="0.4">
      <c r="A282">
        <v>83</v>
      </c>
      <c r="B282" s="20">
        <v>2.7071700000000001</v>
      </c>
      <c r="C282" s="20">
        <f t="shared" si="17"/>
        <v>8.1215100000000007</v>
      </c>
      <c r="D282" s="20">
        <f t="shared" si="18"/>
        <v>4.0607550000000006E-2</v>
      </c>
      <c r="E282" s="20">
        <v>2.4701499999999998</v>
      </c>
      <c r="F282" s="20">
        <f t="shared" si="16"/>
        <v>185.26124999999999</v>
      </c>
      <c r="G282" s="20">
        <f t="shared" si="19"/>
        <v>0.92630625</v>
      </c>
    </row>
    <row r="283" spans="1:9" x14ac:dyDescent="0.4">
      <c r="A283">
        <v>83</v>
      </c>
      <c r="B283" s="20">
        <v>2.6833499999999999</v>
      </c>
      <c r="C283" s="20">
        <f t="shared" si="17"/>
        <v>8.0500499999999988</v>
      </c>
      <c r="D283" s="20">
        <f t="shared" si="18"/>
        <v>4.0250249999999994E-2</v>
      </c>
      <c r="E283" s="20">
        <v>2.4761600000000001</v>
      </c>
      <c r="F283" s="20">
        <f t="shared" si="16"/>
        <v>185.71200000000002</v>
      </c>
      <c r="G283" s="20">
        <f t="shared" si="19"/>
        <v>0.92856000000000005</v>
      </c>
      <c r="H283" s="20">
        <f>AVERAGE(D281:D283)</f>
        <v>4.0440799999999999E-2</v>
      </c>
      <c r="I283" s="20">
        <f>AVERAGE(E281:E283)</f>
        <v>2.4736533333333335</v>
      </c>
    </row>
    <row r="284" spans="1:9" x14ac:dyDescent="0.4">
      <c r="A284">
        <v>84</v>
      </c>
      <c r="B284" s="20">
        <v>2.8643399999999999</v>
      </c>
      <c r="C284" s="20">
        <f t="shared" si="17"/>
        <v>8.5930199999999992</v>
      </c>
      <c r="D284" s="20">
        <f t="shared" si="18"/>
        <v>4.2965099999999992E-2</v>
      </c>
      <c r="E284" s="20">
        <v>3.0436200000000002</v>
      </c>
      <c r="F284" s="20">
        <f t="shared" si="16"/>
        <v>228.2715</v>
      </c>
      <c r="G284" s="20">
        <f t="shared" si="19"/>
        <v>1.1413575</v>
      </c>
    </row>
    <row r="285" spans="1:9" x14ac:dyDescent="0.4">
      <c r="A285">
        <v>84</v>
      </c>
      <c r="B285" s="20">
        <v>2.8738600000000001</v>
      </c>
      <c r="C285" s="20">
        <f t="shared" si="17"/>
        <v>8.6215799999999998</v>
      </c>
      <c r="D285" s="20">
        <f t="shared" si="18"/>
        <v>4.3107899999999998E-2</v>
      </c>
      <c r="E285" s="20">
        <v>3.05864</v>
      </c>
      <c r="F285" s="20">
        <f t="shared" si="16"/>
        <v>229.398</v>
      </c>
      <c r="G285" s="20">
        <f t="shared" si="19"/>
        <v>1.14699</v>
      </c>
    </row>
    <row r="286" spans="1:9" x14ac:dyDescent="0.4">
      <c r="A286">
        <v>84</v>
      </c>
      <c r="B286" s="20">
        <v>2.8643399999999999</v>
      </c>
      <c r="C286" s="20">
        <f t="shared" si="17"/>
        <v>8.5930199999999992</v>
      </c>
      <c r="D286" s="20">
        <f t="shared" si="18"/>
        <v>4.2965099999999992E-2</v>
      </c>
      <c r="E286" s="20">
        <v>3.09917</v>
      </c>
      <c r="F286" s="20">
        <f t="shared" si="16"/>
        <v>232.43774999999999</v>
      </c>
      <c r="G286" s="20">
        <f t="shared" si="19"/>
        <v>1.1621887500000001</v>
      </c>
      <c r="H286" s="20">
        <f>AVERAGE(D284:D286)</f>
        <v>4.3012699999999994E-2</v>
      </c>
      <c r="I286" s="20">
        <f>AVERAGE(E284:E286)</f>
        <v>3.0671433333333336</v>
      </c>
    </row>
    <row r="287" spans="1:9" x14ac:dyDescent="0.4">
      <c r="A287">
        <v>85</v>
      </c>
      <c r="B287" s="20">
        <v>1.9546399999999999</v>
      </c>
      <c r="C287" s="20">
        <f t="shared" si="17"/>
        <v>5.8639200000000002</v>
      </c>
      <c r="D287" s="20">
        <f t="shared" si="18"/>
        <v>2.9319600000000001E-2</v>
      </c>
      <c r="E287" s="20">
        <v>1.27216</v>
      </c>
      <c r="F287" s="20">
        <f t="shared" si="16"/>
        <v>95.411999999999992</v>
      </c>
      <c r="G287" s="20">
        <f t="shared" si="19"/>
        <v>0.47705999999999993</v>
      </c>
    </row>
    <row r="288" spans="1:9" x14ac:dyDescent="0.4">
      <c r="A288">
        <v>85</v>
      </c>
      <c r="B288" s="20">
        <v>1.9784600000000001</v>
      </c>
      <c r="C288" s="20">
        <f t="shared" si="17"/>
        <v>5.9353800000000003</v>
      </c>
      <c r="D288" s="20">
        <f t="shared" si="18"/>
        <v>2.9676900000000003E-2</v>
      </c>
      <c r="E288" s="20">
        <v>1.27667</v>
      </c>
      <c r="F288" s="20">
        <f t="shared" si="16"/>
        <v>95.750249999999994</v>
      </c>
      <c r="G288" s="20">
        <f t="shared" si="19"/>
        <v>0.47875124999999996</v>
      </c>
    </row>
    <row r="289" spans="1:9" x14ac:dyDescent="0.4">
      <c r="A289">
        <v>85</v>
      </c>
      <c r="B289" s="20">
        <v>2.03085</v>
      </c>
      <c r="C289" s="20">
        <f t="shared" si="17"/>
        <v>6.0925500000000001</v>
      </c>
      <c r="D289" s="20">
        <f t="shared" si="18"/>
        <v>3.046275E-2</v>
      </c>
      <c r="E289" s="20">
        <v>1.2901800000000001</v>
      </c>
      <c r="F289" s="20">
        <f t="shared" si="16"/>
        <v>96.763500000000008</v>
      </c>
      <c r="G289" s="20">
        <f t="shared" si="19"/>
        <v>0.48381750000000007</v>
      </c>
      <c r="H289" s="20">
        <f>AVERAGE(D287:D289)</f>
        <v>2.9819750000000003E-2</v>
      </c>
      <c r="I289" s="20">
        <f>AVERAGE(E287:E289)</f>
        <v>1.2796700000000001</v>
      </c>
    </row>
    <row r="290" spans="1:9" x14ac:dyDescent="0.4">
      <c r="A290">
        <v>86</v>
      </c>
      <c r="B290" s="20">
        <v>1.6974499999999999</v>
      </c>
      <c r="C290" s="20">
        <f t="shared" si="17"/>
        <v>5.0923499999999997</v>
      </c>
      <c r="D290" s="20">
        <f t="shared" si="18"/>
        <v>2.5461749999999998E-2</v>
      </c>
      <c r="E290" s="20">
        <v>1.8050999999999999</v>
      </c>
      <c r="F290" s="20">
        <f t="shared" si="16"/>
        <v>135.38249999999999</v>
      </c>
      <c r="G290" s="20">
        <f t="shared" si="19"/>
        <v>0.67691249999999992</v>
      </c>
    </row>
    <row r="291" spans="1:9" x14ac:dyDescent="0.4">
      <c r="A291">
        <v>86</v>
      </c>
      <c r="B291" s="20">
        <v>1.7498400000000001</v>
      </c>
      <c r="C291" s="20">
        <f t="shared" si="17"/>
        <v>5.2495200000000004</v>
      </c>
      <c r="D291" s="20">
        <f t="shared" si="18"/>
        <v>2.6247600000000003E-2</v>
      </c>
      <c r="E291" s="20">
        <v>1.8231200000000001</v>
      </c>
      <c r="F291" s="20">
        <f t="shared" si="16"/>
        <v>136.73400000000001</v>
      </c>
      <c r="G291" s="20">
        <f t="shared" si="19"/>
        <v>0.68367000000000011</v>
      </c>
    </row>
    <row r="292" spans="1:9" x14ac:dyDescent="0.4">
      <c r="A292">
        <v>86</v>
      </c>
      <c r="B292" s="20">
        <v>1.72603</v>
      </c>
      <c r="C292" s="20">
        <f t="shared" si="17"/>
        <v>5.1780900000000001</v>
      </c>
      <c r="D292" s="20">
        <f t="shared" si="18"/>
        <v>2.5890450000000002E-2</v>
      </c>
      <c r="E292" s="20">
        <v>1.8411299999999999</v>
      </c>
      <c r="F292" s="20">
        <f t="shared" si="16"/>
        <v>138.08474999999999</v>
      </c>
      <c r="G292" s="20">
        <f t="shared" si="19"/>
        <v>0.69042374999999989</v>
      </c>
      <c r="H292" s="20">
        <f>AVERAGE(D290:D292)</f>
        <v>2.58666E-2</v>
      </c>
      <c r="I292" s="20">
        <f>AVERAGE(E290:E292)</f>
        <v>1.8231166666666665</v>
      </c>
    </row>
    <row r="293" spans="1:9" x14ac:dyDescent="0.4">
      <c r="A293">
        <v>87</v>
      </c>
      <c r="B293" s="20">
        <v>2.0403699999999998</v>
      </c>
      <c r="C293" s="20">
        <f t="shared" si="17"/>
        <v>6.1211099999999998</v>
      </c>
      <c r="D293" s="20">
        <f t="shared" si="18"/>
        <v>3.0605550000000002E-2</v>
      </c>
      <c r="E293" s="20">
        <v>1.9672400000000001</v>
      </c>
      <c r="F293" s="20">
        <f t="shared" si="16"/>
        <v>147.54300000000001</v>
      </c>
      <c r="G293" s="20">
        <f t="shared" si="19"/>
        <v>0.73771500000000001</v>
      </c>
    </row>
    <row r="294" spans="1:9" x14ac:dyDescent="0.4">
      <c r="A294">
        <v>87</v>
      </c>
      <c r="B294" s="20">
        <v>2.0546600000000002</v>
      </c>
      <c r="C294" s="20">
        <f t="shared" si="17"/>
        <v>6.1639800000000005</v>
      </c>
      <c r="D294" s="20">
        <f t="shared" si="18"/>
        <v>3.0819900000000004E-2</v>
      </c>
      <c r="E294" s="20">
        <v>1.9777400000000001</v>
      </c>
      <c r="F294" s="20">
        <f t="shared" si="16"/>
        <v>148.3305</v>
      </c>
      <c r="G294" s="20">
        <f t="shared" si="19"/>
        <v>0.74165250000000005</v>
      </c>
    </row>
    <row r="295" spans="1:9" x14ac:dyDescent="0.4">
      <c r="A295">
        <v>87</v>
      </c>
      <c r="B295" s="20">
        <v>2.04514</v>
      </c>
      <c r="C295" s="20">
        <f t="shared" si="17"/>
        <v>6.1354199999999999</v>
      </c>
      <c r="D295" s="20">
        <f t="shared" si="18"/>
        <v>3.0677099999999999E-2</v>
      </c>
      <c r="E295" s="20">
        <v>1.9627300000000001</v>
      </c>
      <c r="F295" s="20">
        <f t="shared" si="16"/>
        <v>147.20475000000002</v>
      </c>
      <c r="G295" s="20">
        <f t="shared" si="19"/>
        <v>0.73602375000000009</v>
      </c>
      <c r="H295" s="20">
        <f>AVERAGE(D293:D295)</f>
        <v>3.0700850000000002E-2</v>
      </c>
      <c r="I295" s="20">
        <f>AVERAGE(E293:E295)</f>
        <v>1.9692366666666665</v>
      </c>
    </row>
    <row r="296" spans="1:9" x14ac:dyDescent="0.4">
      <c r="A296">
        <v>88</v>
      </c>
      <c r="B296" s="20">
        <v>1.94512</v>
      </c>
      <c r="C296" s="20">
        <f t="shared" si="17"/>
        <v>5.8353599999999997</v>
      </c>
      <c r="D296" s="20">
        <f t="shared" si="18"/>
        <v>2.9176799999999999E-2</v>
      </c>
      <c r="E296" s="20">
        <v>2.0858300000000001</v>
      </c>
      <c r="F296" s="20">
        <f t="shared" si="16"/>
        <v>156.43725000000001</v>
      </c>
      <c r="G296" s="20">
        <f t="shared" si="19"/>
        <v>0.78218624999999997</v>
      </c>
    </row>
    <row r="297" spans="1:9" x14ac:dyDescent="0.4">
      <c r="A297">
        <v>88</v>
      </c>
      <c r="B297" s="20">
        <v>1.9689300000000001</v>
      </c>
      <c r="C297" s="20">
        <f t="shared" si="17"/>
        <v>5.90679</v>
      </c>
      <c r="D297" s="20">
        <f t="shared" si="18"/>
        <v>2.953395E-2</v>
      </c>
      <c r="E297" s="20">
        <v>2.0618099999999999</v>
      </c>
      <c r="F297" s="20">
        <f t="shared" si="16"/>
        <v>154.63575</v>
      </c>
      <c r="G297" s="20">
        <f t="shared" si="19"/>
        <v>0.77317875000000003</v>
      </c>
    </row>
    <row r="298" spans="1:9" x14ac:dyDescent="0.4">
      <c r="A298">
        <v>88</v>
      </c>
      <c r="B298" s="20">
        <v>1.93083</v>
      </c>
      <c r="C298" s="20">
        <f t="shared" si="17"/>
        <v>5.7924899999999999</v>
      </c>
      <c r="D298" s="20">
        <f t="shared" si="18"/>
        <v>2.8962450000000001E-2</v>
      </c>
      <c r="E298" s="20">
        <v>2.0573100000000002</v>
      </c>
      <c r="F298" s="20">
        <f t="shared" si="16"/>
        <v>154.29825000000002</v>
      </c>
      <c r="G298" s="20">
        <f t="shared" si="19"/>
        <v>0.77149125000000018</v>
      </c>
      <c r="H298" s="20">
        <f>AVERAGE(D296:D298)</f>
        <v>2.9224400000000001E-2</v>
      </c>
      <c r="I298" s="20">
        <f>AVERAGE(E296:E298)</f>
        <v>2.0683166666666666</v>
      </c>
    </row>
    <row r="299" spans="1:9" x14ac:dyDescent="0.4">
      <c r="A299">
        <v>89</v>
      </c>
      <c r="B299" s="20">
        <v>1.56409</v>
      </c>
      <c r="C299" s="20">
        <f t="shared" si="17"/>
        <v>4.6922699999999997</v>
      </c>
      <c r="D299" s="20">
        <f t="shared" si="18"/>
        <v>2.3461349999999999E-2</v>
      </c>
      <c r="E299" s="20">
        <v>1.25115</v>
      </c>
      <c r="F299" s="20">
        <f t="shared" si="16"/>
        <v>93.836249999999993</v>
      </c>
      <c r="G299" s="20">
        <f t="shared" si="19"/>
        <v>0.46918124999999999</v>
      </c>
    </row>
    <row r="300" spans="1:9" x14ac:dyDescent="0.4">
      <c r="A300">
        <v>89</v>
      </c>
      <c r="B300" s="20">
        <v>1.5307599999999999</v>
      </c>
      <c r="C300" s="20">
        <f t="shared" si="17"/>
        <v>4.5922799999999997</v>
      </c>
      <c r="D300" s="20">
        <f t="shared" si="18"/>
        <v>2.2961399999999996E-2</v>
      </c>
      <c r="E300" s="20">
        <v>1.25265</v>
      </c>
      <c r="F300" s="20">
        <f t="shared" si="16"/>
        <v>93.948750000000004</v>
      </c>
      <c r="G300" s="20">
        <f t="shared" si="19"/>
        <v>0.46974375000000002</v>
      </c>
    </row>
    <row r="301" spans="1:9" x14ac:dyDescent="0.4">
      <c r="A301">
        <v>89</v>
      </c>
      <c r="B301" s="20">
        <v>1.5069399999999999</v>
      </c>
      <c r="C301" s="20">
        <f t="shared" si="17"/>
        <v>4.5208199999999996</v>
      </c>
      <c r="D301" s="20">
        <f t="shared" si="18"/>
        <v>2.2604099999999998E-2</v>
      </c>
      <c r="E301" s="20">
        <v>1.25265</v>
      </c>
      <c r="F301" s="20">
        <f t="shared" si="16"/>
        <v>93.948750000000004</v>
      </c>
      <c r="G301" s="20">
        <f t="shared" si="19"/>
        <v>0.46974375000000002</v>
      </c>
      <c r="H301" s="20">
        <f>AVERAGE(D299:D301)</f>
        <v>2.300895E-2</v>
      </c>
      <c r="I301" s="20">
        <f>AVERAGE(E299:E301)</f>
        <v>1.2521500000000001</v>
      </c>
    </row>
    <row r="302" spans="1:9" x14ac:dyDescent="0.4">
      <c r="A302">
        <v>91</v>
      </c>
      <c r="B302" s="20">
        <v>2.14039</v>
      </c>
      <c r="C302" s="20">
        <f t="shared" si="17"/>
        <v>6.42117</v>
      </c>
      <c r="D302" s="20">
        <f t="shared" si="18"/>
        <v>3.2105850000000005E-2</v>
      </c>
      <c r="E302" s="20">
        <v>3.9503699999999999</v>
      </c>
      <c r="F302" s="20">
        <f t="shared" si="16"/>
        <v>296.27774999999997</v>
      </c>
      <c r="G302" s="20">
        <f t="shared" si="19"/>
        <v>1.4813887499999998</v>
      </c>
    </row>
    <row r="303" spans="1:9" x14ac:dyDescent="0.4">
      <c r="A303">
        <v>91</v>
      </c>
      <c r="B303" s="20">
        <v>2.1451600000000002</v>
      </c>
      <c r="C303" s="20">
        <f t="shared" si="17"/>
        <v>6.4354800000000001</v>
      </c>
      <c r="D303" s="20">
        <f t="shared" si="18"/>
        <v>3.2177400000000002E-2</v>
      </c>
      <c r="E303" s="20">
        <v>3.9128400000000001</v>
      </c>
      <c r="F303" s="20">
        <f t="shared" si="16"/>
        <v>293.46300000000002</v>
      </c>
      <c r="G303" s="20">
        <f t="shared" si="19"/>
        <v>1.4673150000000001</v>
      </c>
    </row>
    <row r="304" spans="1:9" x14ac:dyDescent="0.4">
      <c r="A304">
        <v>91</v>
      </c>
      <c r="B304" s="20">
        <v>2.1546799999999999</v>
      </c>
      <c r="C304" s="20">
        <f t="shared" si="17"/>
        <v>6.4640399999999998</v>
      </c>
      <c r="D304" s="20">
        <f t="shared" si="18"/>
        <v>3.23202E-2</v>
      </c>
      <c r="E304" s="20">
        <v>3.9503699999999999</v>
      </c>
      <c r="F304" s="20">
        <f t="shared" si="16"/>
        <v>296.27774999999997</v>
      </c>
      <c r="G304" s="20">
        <f t="shared" si="19"/>
        <v>1.4813887499999998</v>
      </c>
      <c r="H304" s="20">
        <f>AVERAGE(D302:D304)</f>
        <v>3.2201150000000005E-2</v>
      </c>
      <c r="I304" s="20">
        <f>AVERAGE(E302:E304)</f>
        <v>3.9378600000000001</v>
      </c>
    </row>
    <row r="305" spans="1:9" x14ac:dyDescent="0.4">
      <c r="A305">
        <v>94</v>
      </c>
      <c r="B305" s="20">
        <v>4.5979999999999999</v>
      </c>
      <c r="C305" s="20">
        <f t="shared" si="17"/>
        <v>13.794</v>
      </c>
      <c r="D305" s="20">
        <f t="shared" si="18"/>
        <v>6.8970000000000004E-2</v>
      </c>
      <c r="E305" s="20">
        <v>8.9314800000000005</v>
      </c>
      <c r="F305" s="20">
        <f t="shared" si="16"/>
        <v>669.86099999999999</v>
      </c>
      <c r="G305" s="20">
        <f t="shared" si="19"/>
        <v>3.3493049999999998</v>
      </c>
    </row>
    <row r="306" spans="1:9" x14ac:dyDescent="0.4">
      <c r="A306">
        <v>94</v>
      </c>
      <c r="B306" s="20">
        <v>4.6932499999999999</v>
      </c>
      <c r="C306" s="20">
        <f t="shared" si="17"/>
        <v>14.079750000000001</v>
      </c>
      <c r="D306" s="20">
        <f t="shared" si="18"/>
        <v>7.039875000000001E-2</v>
      </c>
      <c r="E306" s="20">
        <v>9.0275599999999994</v>
      </c>
      <c r="F306" s="20">
        <f t="shared" si="16"/>
        <v>677.06700000000001</v>
      </c>
      <c r="G306" s="20">
        <f t="shared" si="19"/>
        <v>3.385335</v>
      </c>
    </row>
    <row r="307" spans="1:9" x14ac:dyDescent="0.4">
      <c r="A307">
        <v>94</v>
      </c>
      <c r="B307" s="20">
        <v>4.7075399999999998</v>
      </c>
      <c r="C307" s="20">
        <f t="shared" si="17"/>
        <v>14.12262</v>
      </c>
      <c r="D307" s="20">
        <f t="shared" si="18"/>
        <v>7.0613099999999998E-2</v>
      </c>
      <c r="E307" s="20">
        <v>9.1116299999999999</v>
      </c>
      <c r="F307" s="20">
        <f t="shared" si="16"/>
        <v>683.37225000000001</v>
      </c>
      <c r="G307" s="20">
        <f t="shared" si="19"/>
        <v>3.4168612499999997</v>
      </c>
      <c r="H307" s="20">
        <f>AVERAGE(D305:D307)</f>
        <v>6.9993950000000013E-2</v>
      </c>
      <c r="I307" s="20">
        <f>AVERAGE(E305:E307)</f>
        <v>9.023556666666666</v>
      </c>
    </row>
    <row r="308" spans="1:9" x14ac:dyDescent="0.4">
      <c r="A308">
        <v>95</v>
      </c>
      <c r="B308" s="20">
        <v>4.00265</v>
      </c>
      <c r="C308" s="20">
        <f t="shared" si="17"/>
        <v>12.007950000000001</v>
      </c>
      <c r="D308" s="20">
        <f t="shared" si="18"/>
        <v>6.0039750000000003E-2</v>
      </c>
      <c r="E308" s="20">
        <v>8.6252300000000002</v>
      </c>
      <c r="F308" s="20">
        <f t="shared" si="16"/>
        <v>646.89224999999999</v>
      </c>
      <c r="G308" s="20">
        <f t="shared" si="19"/>
        <v>3.2344612499999998</v>
      </c>
    </row>
    <row r="309" spans="1:9" x14ac:dyDescent="0.4">
      <c r="A309">
        <v>95</v>
      </c>
      <c r="B309" s="20">
        <v>4.0836100000000002</v>
      </c>
      <c r="C309" s="20">
        <f t="shared" si="17"/>
        <v>12.250830000000001</v>
      </c>
      <c r="D309" s="20">
        <f t="shared" si="18"/>
        <v>6.125415E-2</v>
      </c>
      <c r="E309" s="20">
        <v>8.7152999999999992</v>
      </c>
      <c r="F309" s="20">
        <f t="shared" si="16"/>
        <v>653.64749999999992</v>
      </c>
      <c r="G309" s="20">
        <f t="shared" si="19"/>
        <v>3.2682374999999997</v>
      </c>
    </row>
    <row r="310" spans="1:9" x14ac:dyDescent="0.4">
      <c r="A310">
        <v>95</v>
      </c>
      <c r="B310" s="20">
        <v>4.0598000000000001</v>
      </c>
      <c r="C310" s="20">
        <f t="shared" si="17"/>
        <v>12.179400000000001</v>
      </c>
      <c r="D310" s="20">
        <f t="shared" si="18"/>
        <v>6.0897000000000007E-2</v>
      </c>
      <c r="E310" s="20">
        <v>8.6372400000000003</v>
      </c>
      <c r="F310" s="20">
        <f t="shared" si="16"/>
        <v>647.79300000000001</v>
      </c>
      <c r="G310" s="20">
        <f t="shared" si="19"/>
        <v>3.2389650000000003</v>
      </c>
      <c r="H310" s="20">
        <f>AVERAGE(D308:D310)</f>
        <v>6.0730300000000008E-2</v>
      </c>
      <c r="I310" s="20">
        <f>AVERAGE(E308:E310)</f>
        <v>8.6592566666666659</v>
      </c>
    </row>
    <row r="311" spans="1:9" x14ac:dyDescent="0.4">
      <c r="A311">
        <v>96</v>
      </c>
      <c r="B311" s="20">
        <v>3.2929900000000001</v>
      </c>
      <c r="C311" s="20">
        <f t="shared" si="17"/>
        <v>9.8789700000000007</v>
      </c>
      <c r="D311" s="20">
        <f t="shared" si="18"/>
        <v>4.9394850000000004E-2</v>
      </c>
      <c r="E311" s="20">
        <v>6.6300800000000004</v>
      </c>
      <c r="F311" s="20">
        <f t="shared" si="16"/>
        <v>497.25600000000003</v>
      </c>
      <c r="G311" s="20">
        <f t="shared" si="19"/>
        <v>2.4862800000000003</v>
      </c>
    </row>
    <row r="312" spans="1:9" x14ac:dyDescent="0.4">
      <c r="A312">
        <v>96</v>
      </c>
      <c r="B312" s="20">
        <v>3.2548900000000001</v>
      </c>
      <c r="C312" s="20">
        <f t="shared" si="17"/>
        <v>9.7646700000000006</v>
      </c>
      <c r="D312" s="20">
        <f t="shared" si="18"/>
        <v>4.8823350000000001E-2</v>
      </c>
      <c r="E312" s="20">
        <v>6.6481000000000003</v>
      </c>
      <c r="F312" s="20">
        <f t="shared" si="16"/>
        <v>498.60750000000002</v>
      </c>
      <c r="G312" s="20">
        <f t="shared" si="19"/>
        <v>2.4930374999999998</v>
      </c>
    </row>
    <row r="313" spans="1:9" x14ac:dyDescent="0.4">
      <c r="A313">
        <v>96</v>
      </c>
      <c r="B313" s="20">
        <v>3.2406000000000001</v>
      </c>
      <c r="C313" s="20">
        <f t="shared" si="17"/>
        <v>9.7218</v>
      </c>
      <c r="D313" s="20">
        <f t="shared" si="18"/>
        <v>4.8608999999999999E-2</v>
      </c>
      <c r="E313" s="20">
        <v>6.6586100000000004</v>
      </c>
      <c r="F313" s="20">
        <f t="shared" si="16"/>
        <v>499.39575000000002</v>
      </c>
      <c r="G313" s="20">
        <f t="shared" si="19"/>
        <v>2.4969787500000002</v>
      </c>
      <c r="H313" s="20">
        <f>AVERAGE(D311:D313)</f>
        <v>4.8942399999999997E-2</v>
      </c>
      <c r="I313" s="20">
        <f>AVERAGE(E311:E313)</f>
        <v>6.645596666666667</v>
      </c>
    </row>
    <row r="314" spans="1:9" x14ac:dyDescent="0.4">
      <c r="A314">
        <v>97</v>
      </c>
      <c r="B314" s="20">
        <v>3.65496</v>
      </c>
      <c r="C314" s="20">
        <f t="shared" si="17"/>
        <v>10.964880000000001</v>
      </c>
      <c r="D314" s="20">
        <f t="shared" si="18"/>
        <v>5.4824400000000002E-2</v>
      </c>
      <c r="E314" s="20">
        <v>8.29345</v>
      </c>
      <c r="F314" s="20">
        <f t="shared" si="16"/>
        <v>622.00874999999996</v>
      </c>
      <c r="G314" s="20">
        <f t="shared" si="19"/>
        <v>3.11004375</v>
      </c>
    </row>
    <row r="315" spans="1:9" x14ac:dyDescent="0.4">
      <c r="A315">
        <v>97</v>
      </c>
      <c r="B315" s="20">
        <v>3.9740700000000002</v>
      </c>
      <c r="C315" s="20">
        <f t="shared" si="17"/>
        <v>11.92221</v>
      </c>
      <c r="D315" s="20">
        <f t="shared" si="18"/>
        <v>5.9611049999999999E-2</v>
      </c>
      <c r="E315" s="20">
        <v>8.3189700000000002</v>
      </c>
      <c r="F315" s="20">
        <f t="shared" si="16"/>
        <v>623.92275000000006</v>
      </c>
      <c r="G315" s="20">
        <f t="shared" si="19"/>
        <v>3.1196137500000005</v>
      </c>
    </row>
    <row r="316" spans="1:9" x14ac:dyDescent="0.4">
      <c r="A316">
        <v>97</v>
      </c>
      <c r="B316" s="20">
        <v>4.0455100000000002</v>
      </c>
      <c r="C316" s="20">
        <f t="shared" si="17"/>
        <v>12.13653</v>
      </c>
      <c r="D316" s="20">
        <f t="shared" si="18"/>
        <v>6.0682650000000005E-2</v>
      </c>
      <c r="E316" s="20">
        <v>8.3820300000000003</v>
      </c>
      <c r="F316" s="20">
        <f t="shared" si="16"/>
        <v>628.65224999999998</v>
      </c>
      <c r="G316" s="20">
        <f t="shared" si="19"/>
        <v>3.1432612500000001</v>
      </c>
      <c r="H316" s="20">
        <f>AVERAGE(D314:D316)</f>
        <v>5.83727E-2</v>
      </c>
      <c r="I316" s="20">
        <f>AVERAGE(E314:E316)</f>
        <v>8.3314833333333329</v>
      </c>
    </row>
    <row r="317" spans="1:9" x14ac:dyDescent="0.4">
      <c r="A317">
        <v>98</v>
      </c>
      <c r="B317" s="20">
        <v>2.2547000000000001</v>
      </c>
      <c r="C317" s="20">
        <f t="shared" si="17"/>
        <v>6.7641000000000009</v>
      </c>
      <c r="D317" s="20">
        <f t="shared" si="18"/>
        <v>3.3820500000000003E-2</v>
      </c>
      <c r="E317" s="20">
        <v>2.9985900000000001</v>
      </c>
      <c r="F317" s="20">
        <f t="shared" si="16"/>
        <v>224.89425</v>
      </c>
      <c r="G317" s="20">
        <f t="shared" si="19"/>
        <v>1.12447125</v>
      </c>
    </row>
    <row r="318" spans="1:9" x14ac:dyDescent="0.4">
      <c r="A318">
        <v>98</v>
      </c>
      <c r="B318" s="20">
        <v>2.3261400000000001</v>
      </c>
      <c r="C318" s="20">
        <f t="shared" si="17"/>
        <v>6.9784199999999998</v>
      </c>
      <c r="D318" s="20">
        <f t="shared" si="18"/>
        <v>3.4892100000000002E-2</v>
      </c>
      <c r="E318" s="20">
        <v>3.0150999999999999</v>
      </c>
      <c r="F318" s="20">
        <f t="shared" si="16"/>
        <v>226.13249999999999</v>
      </c>
      <c r="G318" s="20">
        <f t="shared" si="19"/>
        <v>1.1306624999999999</v>
      </c>
    </row>
    <row r="319" spans="1:9" x14ac:dyDescent="0.4">
      <c r="A319">
        <v>98</v>
      </c>
      <c r="B319" s="20">
        <v>2.3309099999999998</v>
      </c>
      <c r="C319" s="20">
        <f t="shared" si="17"/>
        <v>6.9927299999999999</v>
      </c>
      <c r="D319" s="20">
        <f t="shared" si="18"/>
        <v>3.4963649999999999E-2</v>
      </c>
      <c r="E319" s="20">
        <v>2.9985900000000001</v>
      </c>
      <c r="F319" s="20">
        <f t="shared" si="16"/>
        <v>224.89425</v>
      </c>
      <c r="G319" s="20">
        <f t="shared" si="19"/>
        <v>1.12447125</v>
      </c>
      <c r="H319" s="20">
        <f>AVERAGE(D317:D319)</f>
        <v>3.4558750000000006E-2</v>
      </c>
      <c r="I319" s="20">
        <f>AVERAGE(E317:E319)</f>
        <v>3.0040933333333335</v>
      </c>
    </row>
    <row r="320" spans="1:9" x14ac:dyDescent="0.4">
      <c r="A320">
        <v>99</v>
      </c>
      <c r="B320" s="20">
        <v>1.8212900000000001</v>
      </c>
      <c r="C320" s="20">
        <f t="shared" si="17"/>
        <v>5.46387</v>
      </c>
      <c r="D320" s="20">
        <f t="shared" si="18"/>
        <v>2.7319349999999999E-2</v>
      </c>
      <c r="E320" s="20">
        <v>1.7675700000000001</v>
      </c>
      <c r="F320" s="20">
        <f t="shared" si="16"/>
        <v>132.56775000000002</v>
      </c>
      <c r="G320" s="20">
        <f t="shared" si="19"/>
        <v>0.66283875000000014</v>
      </c>
    </row>
    <row r="321" spans="1:9" x14ac:dyDescent="0.4">
      <c r="A321">
        <v>99</v>
      </c>
      <c r="B321" s="20">
        <v>1.8355699999999999</v>
      </c>
      <c r="C321" s="20">
        <f t="shared" si="17"/>
        <v>5.50671</v>
      </c>
      <c r="D321" s="20">
        <f t="shared" si="18"/>
        <v>2.7533549999999997E-2</v>
      </c>
      <c r="E321" s="20">
        <v>1.7735799999999999</v>
      </c>
      <c r="F321" s="20">
        <f t="shared" si="16"/>
        <v>133.01849999999999</v>
      </c>
      <c r="G321" s="20">
        <f t="shared" si="19"/>
        <v>0.66509249999999998</v>
      </c>
    </row>
    <row r="322" spans="1:9" x14ac:dyDescent="0.4">
      <c r="A322">
        <v>99</v>
      </c>
      <c r="B322" s="20">
        <v>1.8451</v>
      </c>
      <c r="C322" s="20">
        <f t="shared" si="17"/>
        <v>5.5352999999999994</v>
      </c>
      <c r="D322" s="20">
        <f t="shared" si="18"/>
        <v>2.7676499999999996E-2</v>
      </c>
      <c r="E322" s="20">
        <v>1.7690699999999999</v>
      </c>
      <c r="F322" s="20">
        <f t="shared" ref="F322:F385" si="20">+E322*75</f>
        <v>132.68025</v>
      </c>
      <c r="G322" s="20">
        <f t="shared" si="19"/>
        <v>0.66340125000000005</v>
      </c>
      <c r="H322" s="20">
        <f>AVERAGE(D320:D322)</f>
        <v>2.7509799999999997E-2</v>
      </c>
      <c r="I322" s="20">
        <f>AVERAGE(E320:E322)</f>
        <v>1.7700733333333334</v>
      </c>
    </row>
    <row r="323" spans="1:9" x14ac:dyDescent="0.4">
      <c r="A323">
        <v>100</v>
      </c>
      <c r="B323" s="20">
        <v>1.9165399999999999</v>
      </c>
      <c r="C323" s="20">
        <f t="shared" ref="C323:C386" si="21">+B323*3</f>
        <v>5.7496200000000002</v>
      </c>
      <c r="D323" s="20">
        <f t="shared" ref="D323:D386" si="22">C323*5/1000</f>
        <v>2.8748100000000002E-2</v>
      </c>
      <c r="E323" s="20">
        <v>1.9387099999999999</v>
      </c>
      <c r="F323" s="20">
        <f t="shared" si="20"/>
        <v>145.40324999999999</v>
      </c>
      <c r="G323" s="20">
        <f t="shared" ref="G323:G386" si="23">F323*5/1000</f>
        <v>0.72701624999999992</v>
      </c>
    </row>
    <row r="324" spans="1:9" x14ac:dyDescent="0.4">
      <c r="A324">
        <v>100</v>
      </c>
      <c r="B324" s="20">
        <v>2.0689500000000001</v>
      </c>
      <c r="C324" s="20">
        <f t="shared" si="21"/>
        <v>6.2068500000000002</v>
      </c>
      <c r="D324" s="20">
        <f t="shared" si="22"/>
        <v>3.1034249999999999E-2</v>
      </c>
      <c r="E324" s="20">
        <v>1.9477199999999999</v>
      </c>
      <c r="F324" s="20">
        <f t="shared" si="20"/>
        <v>146.07899999999998</v>
      </c>
      <c r="G324" s="20">
        <f t="shared" si="23"/>
        <v>0.73039499999999991</v>
      </c>
    </row>
    <row r="325" spans="1:9" x14ac:dyDescent="0.4">
      <c r="A325">
        <v>100</v>
      </c>
      <c r="B325" s="20">
        <v>2.0689500000000001</v>
      </c>
      <c r="C325" s="20">
        <f t="shared" si="21"/>
        <v>6.2068500000000002</v>
      </c>
      <c r="D325" s="20">
        <f t="shared" si="22"/>
        <v>3.1034249999999999E-2</v>
      </c>
      <c r="E325" s="20">
        <v>1.9537199999999999</v>
      </c>
      <c r="F325" s="20">
        <f t="shared" si="20"/>
        <v>146.529</v>
      </c>
      <c r="G325" s="20">
        <f t="shared" si="23"/>
        <v>0.73264499999999999</v>
      </c>
      <c r="H325" s="20">
        <f>AVERAGE(D323:D325)</f>
        <v>3.0272199999999999E-2</v>
      </c>
      <c r="I325" s="20">
        <f>AVERAGE(E323:E325)</f>
        <v>1.9467166666666664</v>
      </c>
    </row>
    <row r="326" spans="1:9" x14ac:dyDescent="0.4">
      <c r="A326">
        <v>101</v>
      </c>
      <c r="B326" s="20">
        <v>1.87368</v>
      </c>
      <c r="C326" s="20">
        <f t="shared" si="21"/>
        <v>5.6210399999999998</v>
      </c>
      <c r="D326" s="20">
        <f t="shared" si="22"/>
        <v>2.81052E-2</v>
      </c>
      <c r="E326" s="20">
        <v>3.0706500000000001</v>
      </c>
      <c r="F326" s="20">
        <f t="shared" si="20"/>
        <v>230.29875000000001</v>
      </c>
      <c r="G326" s="20">
        <f t="shared" si="23"/>
        <v>1.15149375</v>
      </c>
    </row>
    <row r="327" spans="1:9" x14ac:dyDescent="0.4">
      <c r="A327">
        <v>101</v>
      </c>
      <c r="B327" s="20">
        <v>1.8593900000000001</v>
      </c>
      <c r="C327" s="20">
        <f t="shared" si="21"/>
        <v>5.5781700000000001</v>
      </c>
      <c r="D327" s="20">
        <f t="shared" si="22"/>
        <v>2.7890850000000002E-2</v>
      </c>
      <c r="E327" s="20">
        <v>3.0436200000000002</v>
      </c>
      <c r="F327" s="20">
        <f t="shared" si="20"/>
        <v>228.2715</v>
      </c>
      <c r="G327" s="20">
        <f t="shared" si="23"/>
        <v>1.1413575</v>
      </c>
    </row>
    <row r="328" spans="1:9" x14ac:dyDescent="0.4">
      <c r="A328">
        <v>101</v>
      </c>
      <c r="B328" s="20">
        <v>1.8355699999999999</v>
      </c>
      <c r="C328" s="20">
        <f t="shared" si="21"/>
        <v>5.50671</v>
      </c>
      <c r="D328" s="20">
        <f t="shared" si="22"/>
        <v>2.7533549999999997E-2</v>
      </c>
      <c r="E328" s="20">
        <v>3.0751499999999998</v>
      </c>
      <c r="F328" s="20">
        <f t="shared" si="20"/>
        <v>230.63624999999999</v>
      </c>
      <c r="G328" s="20">
        <f t="shared" si="23"/>
        <v>1.1531812499999998</v>
      </c>
      <c r="H328" s="20">
        <f>AVERAGE(D326:D328)</f>
        <v>2.7843200000000002E-2</v>
      </c>
      <c r="I328" s="20">
        <f>AVERAGE(E326:E328)</f>
        <v>3.0631400000000002</v>
      </c>
    </row>
    <row r="329" spans="1:9" x14ac:dyDescent="0.4">
      <c r="A329">
        <v>102</v>
      </c>
      <c r="B329" s="20">
        <v>1.7212700000000001</v>
      </c>
      <c r="C329" s="20">
        <f t="shared" si="21"/>
        <v>5.1638099999999998</v>
      </c>
      <c r="D329" s="20">
        <f t="shared" si="22"/>
        <v>2.5819049999999996E-2</v>
      </c>
      <c r="E329" s="20">
        <v>1.98675</v>
      </c>
      <c r="F329" s="20">
        <f t="shared" si="20"/>
        <v>149.00624999999999</v>
      </c>
      <c r="G329" s="20">
        <f t="shared" si="23"/>
        <v>0.74503125000000003</v>
      </c>
    </row>
    <row r="330" spans="1:9" x14ac:dyDescent="0.4">
      <c r="A330">
        <v>102</v>
      </c>
      <c r="B330" s="20">
        <v>1.7022200000000001</v>
      </c>
      <c r="C330" s="20">
        <f t="shared" si="21"/>
        <v>5.1066599999999998</v>
      </c>
      <c r="D330" s="20">
        <f t="shared" si="22"/>
        <v>2.5533299999999998E-2</v>
      </c>
      <c r="E330" s="20">
        <v>2.0047700000000002</v>
      </c>
      <c r="F330" s="20">
        <f t="shared" si="20"/>
        <v>150.35775000000001</v>
      </c>
      <c r="G330" s="20">
        <f t="shared" si="23"/>
        <v>0.75178875000000001</v>
      </c>
    </row>
    <row r="331" spans="1:9" x14ac:dyDescent="0.4">
      <c r="A331">
        <v>102</v>
      </c>
      <c r="B331" s="20">
        <v>1.6879299999999999</v>
      </c>
      <c r="C331" s="20">
        <f t="shared" si="21"/>
        <v>5.06379</v>
      </c>
      <c r="D331" s="20">
        <f t="shared" si="22"/>
        <v>2.531895E-2</v>
      </c>
      <c r="E331" s="20">
        <v>2.0197799999999999</v>
      </c>
      <c r="F331" s="20">
        <f t="shared" si="20"/>
        <v>151.48349999999999</v>
      </c>
      <c r="G331" s="20">
        <f t="shared" si="23"/>
        <v>0.75741749999999997</v>
      </c>
      <c r="H331" s="20">
        <f>AVERAGE(D329:D331)</f>
        <v>2.5557099999999999E-2</v>
      </c>
      <c r="I331" s="20">
        <f>AVERAGE(E329:E331)</f>
        <v>2.0037666666666669</v>
      </c>
    </row>
    <row r="332" spans="1:9" x14ac:dyDescent="0.4">
      <c r="A332">
        <v>103</v>
      </c>
      <c r="B332" s="20">
        <v>1.6022000000000001</v>
      </c>
      <c r="C332" s="20">
        <f t="shared" si="21"/>
        <v>4.8066000000000004</v>
      </c>
      <c r="D332" s="20">
        <f t="shared" si="22"/>
        <v>2.4033000000000002E-2</v>
      </c>
      <c r="E332" s="20">
        <v>1.4042699999999999</v>
      </c>
      <c r="F332" s="20">
        <f t="shared" si="20"/>
        <v>105.32024999999999</v>
      </c>
      <c r="G332" s="20">
        <f t="shared" si="23"/>
        <v>0.52660124999999991</v>
      </c>
    </row>
    <row r="333" spans="1:9" x14ac:dyDescent="0.4">
      <c r="A333">
        <v>103</v>
      </c>
      <c r="B333" s="20">
        <v>1.72603</v>
      </c>
      <c r="C333" s="20">
        <f t="shared" si="21"/>
        <v>5.1780900000000001</v>
      </c>
      <c r="D333" s="20">
        <f t="shared" si="22"/>
        <v>2.5890450000000002E-2</v>
      </c>
      <c r="E333" s="20">
        <v>1.41778</v>
      </c>
      <c r="F333" s="20">
        <f t="shared" si="20"/>
        <v>106.3335</v>
      </c>
      <c r="G333" s="20">
        <f t="shared" si="23"/>
        <v>0.53166750000000007</v>
      </c>
    </row>
    <row r="334" spans="1:9" x14ac:dyDescent="0.4">
      <c r="A334">
        <v>103</v>
      </c>
      <c r="B334" s="20">
        <v>1.71174</v>
      </c>
      <c r="C334" s="20">
        <f t="shared" si="21"/>
        <v>5.1352200000000003</v>
      </c>
      <c r="D334" s="20">
        <f t="shared" si="22"/>
        <v>2.56761E-2</v>
      </c>
      <c r="E334" s="20">
        <v>1.41778</v>
      </c>
      <c r="F334" s="20">
        <f t="shared" si="20"/>
        <v>106.3335</v>
      </c>
      <c r="G334" s="20">
        <f t="shared" si="23"/>
        <v>0.53166750000000007</v>
      </c>
      <c r="H334" s="20">
        <f>AVERAGE(D332:D334)</f>
        <v>2.5199850000000006E-2</v>
      </c>
      <c r="I334" s="20">
        <f>AVERAGE(E332:E334)</f>
        <v>1.4132766666666665</v>
      </c>
    </row>
    <row r="335" spans="1:9" x14ac:dyDescent="0.4">
      <c r="A335">
        <v>104</v>
      </c>
      <c r="B335" s="20">
        <v>1.7212700000000001</v>
      </c>
      <c r="C335" s="20">
        <f t="shared" si="21"/>
        <v>5.1638099999999998</v>
      </c>
      <c r="D335" s="20">
        <f t="shared" si="22"/>
        <v>2.5819049999999996E-2</v>
      </c>
      <c r="E335" s="20">
        <v>1.8186100000000001</v>
      </c>
      <c r="F335" s="20">
        <f t="shared" si="20"/>
        <v>136.39574999999999</v>
      </c>
      <c r="G335" s="20">
        <f t="shared" si="23"/>
        <v>0.68197874999999997</v>
      </c>
    </row>
    <row r="336" spans="1:9" x14ac:dyDescent="0.4">
      <c r="A336">
        <v>104</v>
      </c>
      <c r="B336" s="20">
        <v>1.8832</v>
      </c>
      <c r="C336" s="20">
        <f t="shared" si="21"/>
        <v>5.6495999999999995</v>
      </c>
      <c r="D336" s="20">
        <f t="shared" si="22"/>
        <v>2.8247999999999999E-2</v>
      </c>
      <c r="E336" s="20">
        <v>1.8050999999999999</v>
      </c>
      <c r="F336" s="20">
        <f t="shared" si="20"/>
        <v>135.38249999999999</v>
      </c>
      <c r="G336" s="20">
        <f t="shared" si="23"/>
        <v>0.67691249999999992</v>
      </c>
    </row>
    <row r="337" spans="1:9" x14ac:dyDescent="0.4">
      <c r="A337">
        <v>104</v>
      </c>
      <c r="B337" s="20">
        <v>1.8593900000000001</v>
      </c>
      <c r="C337" s="20">
        <f t="shared" si="21"/>
        <v>5.5781700000000001</v>
      </c>
      <c r="D337" s="20">
        <f t="shared" si="22"/>
        <v>2.7890850000000002E-2</v>
      </c>
      <c r="E337" s="20">
        <v>1.8141099999999999</v>
      </c>
      <c r="F337" s="20">
        <f t="shared" si="20"/>
        <v>136.05824999999999</v>
      </c>
      <c r="G337" s="20">
        <f t="shared" si="23"/>
        <v>0.68029125000000001</v>
      </c>
      <c r="H337" s="20">
        <f>AVERAGE(D335:D337)</f>
        <v>2.7319300000000001E-2</v>
      </c>
      <c r="I337" s="20">
        <f>AVERAGE(E335:E337)</f>
        <v>1.8126066666666667</v>
      </c>
    </row>
    <row r="338" spans="1:9" x14ac:dyDescent="0.4">
      <c r="A338">
        <v>105</v>
      </c>
      <c r="B338" s="20">
        <v>1.8069999999999999</v>
      </c>
      <c r="C338" s="20">
        <f t="shared" si="21"/>
        <v>5.4209999999999994</v>
      </c>
      <c r="D338" s="20">
        <f t="shared" si="22"/>
        <v>2.7104999999999997E-2</v>
      </c>
      <c r="E338" s="20">
        <v>2.5211899999999998</v>
      </c>
      <c r="F338" s="20">
        <f t="shared" si="20"/>
        <v>189.08924999999999</v>
      </c>
      <c r="G338" s="20">
        <f t="shared" si="23"/>
        <v>0.94544624999999993</v>
      </c>
    </row>
    <row r="339" spans="1:9" x14ac:dyDescent="0.4">
      <c r="A339">
        <v>105</v>
      </c>
      <c r="B339" s="20">
        <v>1.87368</v>
      </c>
      <c r="C339" s="20">
        <f t="shared" si="21"/>
        <v>5.6210399999999998</v>
      </c>
      <c r="D339" s="20">
        <f t="shared" si="22"/>
        <v>2.81052E-2</v>
      </c>
      <c r="E339" s="20">
        <v>2.5316999999999998</v>
      </c>
      <c r="F339" s="20">
        <f t="shared" si="20"/>
        <v>189.8775</v>
      </c>
      <c r="G339" s="20">
        <f t="shared" si="23"/>
        <v>0.94938750000000005</v>
      </c>
    </row>
    <row r="340" spans="1:9" x14ac:dyDescent="0.4">
      <c r="A340">
        <v>105</v>
      </c>
      <c r="B340" s="20">
        <v>1.8451</v>
      </c>
      <c r="C340" s="20">
        <f t="shared" si="21"/>
        <v>5.5352999999999994</v>
      </c>
      <c r="D340" s="20">
        <f t="shared" si="22"/>
        <v>2.7676499999999996E-2</v>
      </c>
      <c r="E340" s="20">
        <v>2.5316999999999998</v>
      </c>
      <c r="F340" s="20">
        <f t="shared" si="20"/>
        <v>189.8775</v>
      </c>
      <c r="G340" s="20">
        <f t="shared" si="23"/>
        <v>0.94938750000000005</v>
      </c>
      <c r="H340" s="20">
        <f>AVERAGE(D338:D340)</f>
        <v>2.7628899999999998E-2</v>
      </c>
      <c r="I340" s="20">
        <f>AVERAGE(E338:E340)</f>
        <v>2.5281966666666666</v>
      </c>
    </row>
    <row r="341" spans="1:9" x14ac:dyDescent="0.4">
      <c r="A341">
        <v>106</v>
      </c>
      <c r="B341" s="20">
        <v>2.0165600000000001</v>
      </c>
      <c r="C341" s="20">
        <f t="shared" si="21"/>
        <v>6.0496800000000004</v>
      </c>
      <c r="D341" s="20">
        <f t="shared" si="22"/>
        <v>3.0248400000000005E-2</v>
      </c>
      <c r="E341" s="20">
        <v>2.1578900000000001</v>
      </c>
      <c r="F341" s="20">
        <f t="shared" si="20"/>
        <v>161.84175000000002</v>
      </c>
      <c r="G341" s="20">
        <f t="shared" si="23"/>
        <v>0.80920875000000014</v>
      </c>
    </row>
    <row r="342" spans="1:9" x14ac:dyDescent="0.4">
      <c r="A342">
        <v>106</v>
      </c>
      <c r="B342" s="20">
        <v>2.04514</v>
      </c>
      <c r="C342" s="20">
        <f t="shared" si="21"/>
        <v>6.1354199999999999</v>
      </c>
      <c r="D342" s="20">
        <f t="shared" si="22"/>
        <v>3.0677099999999999E-2</v>
      </c>
      <c r="E342" s="20">
        <v>2.1638999999999999</v>
      </c>
      <c r="F342" s="20">
        <f t="shared" si="20"/>
        <v>162.29249999999999</v>
      </c>
      <c r="G342" s="20">
        <f t="shared" si="23"/>
        <v>0.81146249999999998</v>
      </c>
    </row>
    <row r="343" spans="1:9" x14ac:dyDescent="0.4">
      <c r="A343">
        <v>106</v>
      </c>
      <c r="B343" s="20">
        <v>2.03085</v>
      </c>
      <c r="C343" s="20">
        <f t="shared" si="21"/>
        <v>6.0925500000000001</v>
      </c>
      <c r="D343" s="20">
        <f t="shared" si="22"/>
        <v>3.046275E-2</v>
      </c>
      <c r="E343" s="20">
        <v>2.1578900000000001</v>
      </c>
      <c r="F343" s="20">
        <f t="shared" si="20"/>
        <v>161.84175000000002</v>
      </c>
      <c r="G343" s="20">
        <f t="shared" si="23"/>
        <v>0.80920875000000014</v>
      </c>
      <c r="H343" s="20">
        <f>AVERAGE(D341:D343)</f>
        <v>3.046275E-2</v>
      </c>
      <c r="I343" s="20">
        <f>AVERAGE(E341:E343)</f>
        <v>2.1598933333333332</v>
      </c>
    </row>
    <row r="344" spans="1:9" x14ac:dyDescent="0.4">
      <c r="A344">
        <v>107</v>
      </c>
      <c r="B344" s="20">
        <v>1.74508</v>
      </c>
      <c r="C344" s="20">
        <f t="shared" si="21"/>
        <v>5.2352400000000001</v>
      </c>
      <c r="D344" s="20">
        <f t="shared" si="22"/>
        <v>2.61762E-2</v>
      </c>
      <c r="E344" s="20">
        <v>1.85164</v>
      </c>
      <c r="F344" s="20">
        <f t="shared" si="20"/>
        <v>138.87299999999999</v>
      </c>
      <c r="G344" s="20">
        <f t="shared" si="23"/>
        <v>0.69436500000000001</v>
      </c>
    </row>
    <row r="345" spans="1:9" x14ac:dyDescent="0.4">
      <c r="A345">
        <v>107</v>
      </c>
      <c r="B345" s="20">
        <v>1.7593700000000001</v>
      </c>
      <c r="C345" s="20">
        <f t="shared" si="21"/>
        <v>5.2781099999999999</v>
      </c>
      <c r="D345" s="20">
        <f t="shared" si="22"/>
        <v>2.6390549999999999E-2</v>
      </c>
      <c r="E345" s="20">
        <v>1.8651500000000001</v>
      </c>
      <c r="F345" s="20">
        <f t="shared" si="20"/>
        <v>139.88625000000002</v>
      </c>
      <c r="G345" s="20">
        <f t="shared" si="23"/>
        <v>0.69943125000000006</v>
      </c>
    </row>
    <row r="346" spans="1:9" x14ac:dyDescent="0.4">
      <c r="A346">
        <v>107</v>
      </c>
      <c r="B346" s="20">
        <v>1.73556</v>
      </c>
      <c r="C346" s="20">
        <f t="shared" si="21"/>
        <v>5.2066800000000004</v>
      </c>
      <c r="D346" s="20">
        <f t="shared" si="22"/>
        <v>2.6033400000000002E-2</v>
      </c>
      <c r="E346" s="20">
        <v>1.8696600000000001</v>
      </c>
      <c r="F346" s="20">
        <f t="shared" si="20"/>
        <v>140.22450000000001</v>
      </c>
      <c r="G346" s="20">
        <f t="shared" si="23"/>
        <v>0.70112250000000009</v>
      </c>
      <c r="H346" s="20">
        <f>AVERAGE(D344:D346)</f>
        <v>2.6200049999999999E-2</v>
      </c>
      <c r="I346" s="20">
        <f>AVERAGE(E344:E346)</f>
        <v>1.86215</v>
      </c>
    </row>
    <row r="347" spans="1:9" x14ac:dyDescent="0.4">
      <c r="A347">
        <v>108</v>
      </c>
      <c r="B347" s="20">
        <v>1.77366</v>
      </c>
      <c r="C347" s="20">
        <f t="shared" si="21"/>
        <v>5.3209800000000005</v>
      </c>
      <c r="D347" s="20">
        <f t="shared" si="22"/>
        <v>2.6604900000000001E-2</v>
      </c>
      <c r="E347" s="20">
        <v>1.8006</v>
      </c>
      <c r="F347" s="20">
        <f t="shared" si="20"/>
        <v>135.04499999999999</v>
      </c>
      <c r="G347" s="20">
        <f t="shared" si="23"/>
        <v>0.67522499999999996</v>
      </c>
    </row>
    <row r="348" spans="1:9" x14ac:dyDescent="0.4">
      <c r="A348">
        <v>108</v>
      </c>
      <c r="B348" s="20">
        <v>1.7879499999999999</v>
      </c>
      <c r="C348" s="20">
        <f t="shared" si="21"/>
        <v>5.3638499999999993</v>
      </c>
      <c r="D348" s="20">
        <f t="shared" si="22"/>
        <v>2.6819249999999996E-2</v>
      </c>
      <c r="E348" s="20">
        <v>1.7870900000000001</v>
      </c>
      <c r="F348" s="20">
        <f t="shared" si="20"/>
        <v>134.03175000000002</v>
      </c>
      <c r="G348" s="20">
        <f t="shared" si="23"/>
        <v>0.67015875000000003</v>
      </c>
    </row>
    <row r="349" spans="1:9" x14ac:dyDescent="0.4">
      <c r="A349">
        <v>108</v>
      </c>
      <c r="B349" s="20">
        <v>1.7879499999999999</v>
      </c>
      <c r="C349" s="20">
        <f t="shared" si="21"/>
        <v>5.3638499999999993</v>
      </c>
      <c r="D349" s="20">
        <f t="shared" si="22"/>
        <v>2.6819249999999996E-2</v>
      </c>
      <c r="E349" s="20">
        <v>1.8050999999999999</v>
      </c>
      <c r="F349" s="20">
        <f t="shared" si="20"/>
        <v>135.38249999999999</v>
      </c>
      <c r="G349" s="20">
        <f t="shared" si="23"/>
        <v>0.67691249999999992</v>
      </c>
      <c r="H349" s="20">
        <f>AVERAGE(D347:D349)</f>
        <v>2.6747799999999999E-2</v>
      </c>
      <c r="I349" s="20">
        <f>AVERAGE(E347:E349)</f>
        <v>1.7975966666666665</v>
      </c>
    </row>
    <row r="350" spans="1:9" x14ac:dyDescent="0.4">
      <c r="A350">
        <v>109</v>
      </c>
      <c r="B350" s="20">
        <v>1.6593500000000001</v>
      </c>
      <c r="C350" s="20">
        <f t="shared" si="21"/>
        <v>4.9780500000000005</v>
      </c>
      <c r="D350" s="20">
        <f t="shared" si="22"/>
        <v>2.4890250000000003E-2</v>
      </c>
      <c r="E350" s="20">
        <v>1.27216</v>
      </c>
      <c r="F350" s="20">
        <f t="shared" si="20"/>
        <v>95.411999999999992</v>
      </c>
      <c r="G350" s="20">
        <f t="shared" si="23"/>
        <v>0.47705999999999993</v>
      </c>
    </row>
    <row r="351" spans="1:9" x14ac:dyDescent="0.4">
      <c r="A351">
        <v>109</v>
      </c>
      <c r="B351" s="20">
        <v>1.7022200000000001</v>
      </c>
      <c r="C351" s="20">
        <f t="shared" si="21"/>
        <v>5.1066599999999998</v>
      </c>
      <c r="D351" s="20">
        <f t="shared" si="22"/>
        <v>2.5533299999999998E-2</v>
      </c>
      <c r="E351" s="20">
        <v>1.2601500000000001</v>
      </c>
      <c r="F351" s="20">
        <f t="shared" si="20"/>
        <v>94.511250000000004</v>
      </c>
      <c r="G351" s="20">
        <f t="shared" si="23"/>
        <v>0.47255625000000001</v>
      </c>
    </row>
    <row r="352" spans="1:9" x14ac:dyDescent="0.4">
      <c r="A352">
        <v>109</v>
      </c>
      <c r="B352" s="20">
        <v>1.6879299999999999</v>
      </c>
      <c r="C352" s="20">
        <f t="shared" si="21"/>
        <v>5.06379</v>
      </c>
      <c r="D352" s="20">
        <f t="shared" si="22"/>
        <v>2.531895E-2</v>
      </c>
      <c r="E352" s="20">
        <v>1.27667</v>
      </c>
      <c r="F352" s="20">
        <f t="shared" si="20"/>
        <v>95.750249999999994</v>
      </c>
      <c r="G352" s="20">
        <f t="shared" si="23"/>
        <v>0.47875124999999996</v>
      </c>
      <c r="H352" s="20">
        <f>AVERAGE(D350:D352)</f>
        <v>2.5247499999999996E-2</v>
      </c>
      <c r="I352" s="20">
        <f>AVERAGE(E350:E352)</f>
        <v>1.26966</v>
      </c>
    </row>
    <row r="353" spans="1:9" x14ac:dyDescent="0.4">
      <c r="A353">
        <v>110</v>
      </c>
      <c r="B353" s="20">
        <v>1.55457</v>
      </c>
      <c r="C353" s="20">
        <f t="shared" si="21"/>
        <v>4.66371</v>
      </c>
      <c r="D353" s="20">
        <f t="shared" si="22"/>
        <v>2.331855E-2</v>
      </c>
      <c r="E353" s="20">
        <v>1.3922600000000001</v>
      </c>
      <c r="F353" s="20">
        <f t="shared" si="20"/>
        <v>104.4195</v>
      </c>
      <c r="G353" s="20">
        <f t="shared" si="23"/>
        <v>0.52209749999999999</v>
      </c>
    </row>
    <row r="354" spans="1:9" x14ac:dyDescent="0.4">
      <c r="A354">
        <v>110</v>
      </c>
      <c r="B354" s="20">
        <v>1.63554</v>
      </c>
      <c r="C354" s="20">
        <f t="shared" si="21"/>
        <v>4.9066200000000002</v>
      </c>
      <c r="D354" s="20">
        <f t="shared" si="22"/>
        <v>2.4533100000000002E-2</v>
      </c>
      <c r="E354" s="20">
        <v>1.3967700000000001</v>
      </c>
      <c r="F354" s="20">
        <f t="shared" si="20"/>
        <v>104.75775</v>
      </c>
      <c r="G354" s="20">
        <f t="shared" si="23"/>
        <v>0.52378875000000003</v>
      </c>
    </row>
    <row r="355" spans="1:9" x14ac:dyDescent="0.4">
      <c r="A355">
        <v>110</v>
      </c>
      <c r="B355" s="20">
        <v>1.6403000000000001</v>
      </c>
      <c r="C355" s="20">
        <f t="shared" si="21"/>
        <v>4.9209000000000005</v>
      </c>
      <c r="D355" s="20">
        <f t="shared" si="22"/>
        <v>2.4604500000000001E-2</v>
      </c>
      <c r="E355" s="20">
        <v>1.4042699999999999</v>
      </c>
      <c r="F355" s="20">
        <f t="shared" si="20"/>
        <v>105.32024999999999</v>
      </c>
      <c r="G355" s="20">
        <f t="shared" si="23"/>
        <v>0.52660124999999991</v>
      </c>
      <c r="H355" s="20">
        <f>AVERAGE(D353:D355)</f>
        <v>2.4152049999999998E-2</v>
      </c>
      <c r="I355" s="20">
        <f>AVERAGE(E353:E355)</f>
        <v>1.3977666666666668</v>
      </c>
    </row>
    <row r="356" spans="1:9" x14ac:dyDescent="0.4">
      <c r="A356">
        <v>111</v>
      </c>
      <c r="B356" s="20">
        <v>1.7974699999999999</v>
      </c>
      <c r="C356" s="20">
        <f t="shared" si="21"/>
        <v>5.3924099999999999</v>
      </c>
      <c r="D356" s="20">
        <f t="shared" si="22"/>
        <v>2.6962049999999998E-2</v>
      </c>
      <c r="E356" s="20">
        <v>1.88767</v>
      </c>
      <c r="F356" s="20">
        <f t="shared" si="20"/>
        <v>141.57524999999998</v>
      </c>
      <c r="G356" s="20">
        <f t="shared" si="23"/>
        <v>0.70787624999999987</v>
      </c>
    </row>
    <row r="357" spans="1:9" x14ac:dyDescent="0.4">
      <c r="A357">
        <v>111</v>
      </c>
      <c r="B357" s="20">
        <v>1.8593900000000001</v>
      </c>
      <c r="C357" s="20">
        <f t="shared" si="21"/>
        <v>5.5781700000000001</v>
      </c>
      <c r="D357" s="20">
        <f t="shared" si="22"/>
        <v>2.7890850000000002E-2</v>
      </c>
      <c r="E357" s="20">
        <v>1.9116899999999999</v>
      </c>
      <c r="F357" s="20">
        <f t="shared" si="20"/>
        <v>143.37674999999999</v>
      </c>
      <c r="G357" s="20">
        <f t="shared" si="23"/>
        <v>0.71688374999999993</v>
      </c>
    </row>
    <row r="358" spans="1:9" x14ac:dyDescent="0.4">
      <c r="A358">
        <v>111</v>
      </c>
      <c r="B358" s="20">
        <v>1.8689100000000001</v>
      </c>
      <c r="C358" s="20">
        <f t="shared" si="21"/>
        <v>5.6067300000000007</v>
      </c>
      <c r="D358" s="20">
        <f t="shared" si="22"/>
        <v>2.803365E-2</v>
      </c>
      <c r="E358" s="20">
        <v>1.9116899999999999</v>
      </c>
      <c r="F358" s="20">
        <f t="shared" si="20"/>
        <v>143.37674999999999</v>
      </c>
      <c r="G358" s="20">
        <f t="shared" si="23"/>
        <v>0.71688374999999993</v>
      </c>
      <c r="H358" s="20">
        <f>AVERAGE(D356:D358)</f>
        <v>2.762885E-2</v>
      </c>
      <c r="I358" s="20">
        <f>AVERAGE(E356:E358)</f>
        <v>1.9036833333333334</v>
      </c>
    </row>
    <row r="359" spans="1:9" x14ac:dyDescent="0.4">
      <c r="A359">
        <v>112</v>
      </c>
      <c r="B359" s="20">
        <v>1.99275</v>
      </c>
      <c r="C359" s="20">
        <f t="shared" si="21"/>
        <v>5.9782500000000001</v>
      </c>
      <c r="D359" s="20">
        <f t="shared" si="22"/>
        <v>2.9891250000000001E-2</v>
      </c>
      <c r="E359" s="20">
        <v>1.87416</v>
      </c>
      <c r="F359" s="20">
        <f t="shared" si="20"/>
        <v>140.56200000000001</v>
      </c>
      <c r="G359" s="20">
        <f t="shared" si="23"/>
        <v>0.70281000000000005</v>
      </c>
    </row>
    <row r="360" spans="1:9" x14ac:dyDescent="0.4">
      <c r="A360">
        <v>112</v>
      </c>
      <c r="B360" s="20">
        <v>1.9689300000000001</v>
      </c>
      <c r="C360" s="20">
        <f t="shared" si="21"/>
        <v>5.90679</v>
      </c>
      <c r="D360" s="20">
        <f t="shared" si="22"/>
        <v>2.953395E-2</v>
      </c>
      <c r="E360" s="20">
        <v>1.88317</v>
      </c>
      <c r="F360" s="20">
        <f t="shared" si="20"/>
        <v>141.23775000000001</v>
      </c>
      <c r="G360" s="20">
        <f t="shared" si="23"/>
        <v>0.70618875000000003</v>
      </c>
    </row>
    <row r="361" spans="1:9" x14ac:dyDescent="0.4">
      <c r="A361">
        <v>112</v>
      </c>
      <c r="B361" s="20">
        <v>1.99275</v>
      </c>
      <c r="C361" s="20">
        <f t="shared" si="21"/>
        <v>5.9782500000000001</v>
      </c>
      <c r="D361" s="20">
        <f t="shared" si="22"/>
        <v>2.9891250000000001E-2</v>
      </c>
      <c r="E361" s="20">
        <v>1.87416</v>
      </c>
      <c r="F361" s="20">
        <f t="shared" si="20"/>
        <v>140.56200000000001</v>
      </c>
      <c r="G361" s="20">
        <f t="shared" si="23"/>
        <v>0.70281000000000005</v>
      </c>
      <c r="H361" s="20">
        <f>AVERAGE(D359:D361)</f>
        <v>2.9772149999999997E-2</v>
      </c>
      <c r="I361" s="20">
        <f>AVERAGE(E359:E361)</f>
        <v>1.8771633333333335</v>
      </c>
    </row>
    <row r="362" spans="1:9" x14ac:dyDescent="0.4">
      <c r="A362">
        <v>113</v>
      </c>
      <c r="B362" s="20">
        <v>5.3695700000000004</v>
      </c>
      <c r="C362" s="20">
        <f t="shared" si="21"/>
        <v>16.108710000000002</v>
      </c>
      <c r="D362" s="20">
        <f t="shared" si="22"/>
        <v>8.0543550000000005E-2</v>
      </c>
      <c r="E362" s="20">
        <v>8.9855199999999993</v>
      </c>
      <c r="F362" s="20">
        <f t="shared" si="20"/>
        <v>673.91399999999999</v>
      </c>
      <c r="G362" s="20">
        <f t="shared" si="23"/>
        <v>3.3695699999999995</v>
      </c>
    </row>
    <row r="363" spans="1:9" x14ac:dyDescent="0.4">
      <c r="A363">
        <v>113</v>
      </c>
      <c r="B363" s="20">
        <v>5.3838600000000003</v>
      </c>
      <c r="C363" s="20">
        <f t="shared" si="21"/>
        <v>16.151580000000003</v>
      </c>
      <c r="D363" s="20">
        <f t="shared" si="22"/>
        <v>8.0757900000000007E-2</v>
      </c>
      <c r="E363" s="20">
        <v>8.9314800000000005</v>
      </c>
      <c r="F363" s="20">
        <f t="shared" si="20"/>
        <v>669.86099999999999</v>
      </c>
      <c r="G363" s="20">
        <f t="shared" si="23"/>
        <v>3.3493049999999998</v>
      </c>
    </row>
    <row r="364" spans="1:9" x14ac:dyDescent="0.4">
      <c r="A364">
        <v>113</v>
      </c>
      <c r="B364" s="20">
        <v>5.3838600000000003</v>
      </c>
      <c r="C364" s="20">
        <f t="shared" si="21"/>
        <v>16.151580000000003</v>
      </c>
      <c r="D364" s="20">
        <f t="shared" si="22"/>
        <v>8.0757900000000007E-2</v>
      </c>
      <c r="E364" s="20">
        <v>8.9449900000000007</v>
      </c>
      <c r="F364" s="20">
        <f t="shared" si="20"/>
        <v>670.87425000000007</v>
      </c>
      <c r="G364" s="20">
        <f t="shared" si="23"/>
        <v>3.3543712500000002</v>
      </c>
      <c r="H364" s="20">
        <f>AVERAGE(D362:D364)</f>
        <v>8.0686450000000007E-2</v>
      </c>
      <c r="I364" s="20">
        <f>AVERAGE(E362:E364)</f>
        <v>8.9539966666666668</v>
      </c>
    </row>
    <row r="365" spans="1:9" x14ac:dyDescent="0.4">
      <c r="A365">
        <v>114</v>
      </c>
      <c r="B365" s="20">
        <v>6.9555800000000003</v>
      </c>
      <c r="C365" s="20">
        <f t="shared" si="21"/>
        <v>20.86674</v>
      </c>
      <c r="D365" s="20">
        <f t="shared" si="22"/>
        <v>0.10433369999999999</v>
      </c>
      <c r="E365" s="20">
        <v>12.3573</v>
      </c>
      <c r="F365" s="20">
        <f t="shared" si="20"/>
        <v>926.79750000000001</v>
      </c>
      <c r="G365" s="20">
        <f t="shared" si="23"/>
        <v>4.6339874999999999</v>
      </c>
    </row>
    <row r="366" spans="1:9" x14ac:dyDescent="0.4">
      <c r="A366">
        <v>114</v>
      </c>
      <c r="B366" s="20">
        <v>7.1746699999999999</v>
      </c>
      <c r="C366" s="20">
        <f t="shared" si="21"/>
        <v>21.524010000000001</v>
      </c>
      <c r="D366" s="20">
        <f t="shared" si="22"/>
        <v>0.10762005000000001</v>
      </c>
      <c r="E366" s="20">
        <v>12.33479</v>
      </c>
      <c r="F366" s="20">
        <f t="shared" si="20"/>
        <v>925.10924999999997</v>
      </c>
      <c r="G366" s="20">
        <f t="shared" si="23"/>
        <v>4.6255462499999993</v>
      </c>
    </row>
    <row r="367" spans="1:9" x14ac:dyDescent="0.4">
      <c r="A367">
        <v>114</v>
      </c>
      <c r="B367" s="20">
        <v>7.4318600000000004</v>
      </c>
      <c r="C367" s="20">
        <f t="shared" si="21"/>
        <v>22.295580000000001</v>
      </c>
      <c r="D367" s="20">
        <f t="shared" si="22"/>
        <v>0.1114779</v>
      </c>
      <c r="E367" s="20">
        <v>12.450379999999999</v>
      </c>
      <c r="F367" s="20">
        <f t="shared" si="20"/>
        <v>933.77849999999989</v>
      </c>
      <c r="G367" s="20">
        <f t="shared" si="23"/>
        <v>4.6688925000000001</v>
      </c>
      <c r="H367" s="20">
        <f>AVERAGE(D365:D367)</f>
        <v>0.10781055</v>
      </c>
      <c r="I367" s="20">
        <f>AVERAGE(E365:E367)</f>
        <v>12.380823333333334</v>
      </c>
    </row>
    <row r="368" spans="1:9" x14ac:dyDescent="0.4">
      <c r="A368">
        <v>115</v>
      </c>
      <c r="B368" s="20">
        <v>9.9370899999999995</v>
      </c>
      <c r="C368" s="20">
        <f t="shared" si="21"/>
        <v>29.81127</v>
      </c>
      <c r="D368" s="20">
        <f t="shared" si="22"/>
        <v>0.14905635</v>
      </c>
      <c r="E368" s="20">
        <v>13.06589</v>
      </c>
      <c r="F368" s="20">
        <f t="shared" si="20"/>
        <v>979.94174999999996</v>
      </c>
      <c r="G368" s="20">
        <f t="shared" si="23"/>
        <v>4.8997087499999994</v>
      </c>
    </row>
    <row r="369" spans="1:9" x14ac:dyDescent="0.4">
      <c r="A369">
        <v>115</v>
      </c>
      <c r="B369" s="20">
        <v>10.12284</v>
      </c>
      <c r="C369" s="20">
        <f t="shared" si="21"/>
        <v>30.36852</v>
      </c>
      <c r="D369" s="20">
        <f t="shared" si="22"/>
        <v>0.15184259999999999</v>
      </c>
      <c r="E369" s="20">
        <v>12.989330000000001</v>
      </c>
      <c r="F369" s="20">
        <f t="shared" si="20"/>
        <v>974.19975000000011</v>
      </c>
      <c r="G369" s="20">
        <f t="shared" si="23"/>
        <v>4.8709987500000009</v>
      </c>
    </row>
    <row r="370" spans="1:9" x14ac:dyDescent="0.4">
      <c r="A370">
        <v>115</v>
      </c>
      <c r="B370" s="20">
        <v>10.14189</v>
      </c>
      <c r="C370" s="20">
        <f t="shared" si="21"/>
        <v>30.42567</v>
      </c>
      <c r="D370" s="20">
        <f t="shared" si="22"/>
        <v>0.15212835000000002</v>
      </c>
      <c r="E370" s="20">
        <v>12.86172</v>
      </c>
      <c r="F370" s="20">
        <f t="shared" si="20"/>
        <v>964.62900000000002</v>
      </c>
      <c r="G370" s="20">
        <f t="shared" si="23"/>
        <v>4.8231450000000002</v>
      </c>
      <c r="H370" s="20">
        <f>AVERAGE(D368:D370)</f>
        <v>0.15100910000000001</v>
      </c>
      <c r="I370" s="20">
        <f>AVERAGE(E368:E370)</f>
        <v>12.972313333333332</v>
      </c>
    </row>
    <row r="371" spans="1:9" x14ac:dyDescent="0.4">
      <c r="A371">
        <v>116</v>
      </c>
      <c r="B371" s="20">
        <v>3.6501999999999999</v>
      </c>
      <c r="C371" s="20">
        <f t="shared" si="21"/>
        <v>10.9506</v>
      </c>
      <c r="D371" s="20">
        <f t="shared" si="22"/>
        <v>5.4753000000000003E-2</v>
      </c>
      <c r="E371" s="20">
        <v>4.9381899999999996</v>
      </c>
      <c r="F371" s="20">
        <f t="shared" si="20"/>
        <v>370.36424999999997</v>
      </c>
      <c r="G371" s="20">
        <f t="shared" si="23"/>
        <v>1.85182125</v>
      </c>
    </row>
    <row r="372" spans="1:9" x14ac:dyDescent="0.4">
      <c r="A372">
        <v>116</v>
      </c>
      <c r="B372" s="20">
        <v>3.6644899999999998</v>
      </c>
      <c r="C372" s="20">
        <f t="shared" si="21"/>
        <v>10.993469999999999</v>
      </c>
      <c r="D372" s="20">
        <f t="shared" si="22"/>
        <v>5.4967349999999998E-2</v>
      </c>
      <c r="E372" s="20">
        <v>4.96821</v>
      </c>
      <c r="F372" s="20">
        <f t="shared" si="20"/>
        <v>372.61574999999999</v>
      </c>
      <c r="G372" s="20">
        <f t="shared" si="23"/>
        <v>1.8630787499999999</v>
      </c>
    </row>
    <row r="373" spans="1:9" x14ac:dyDescent="0.4">
      <c r="A373">
        <v>116</v>
      </c>
      <c r="B373" s="20">
        <v>3.6263899999999998</v>
      </c>
      <c r="C373" s="20">
        <f t="shared" si="21"/>
        <v>10.879169999999998</v>
      </c>
      <c r="D373" s="20">
        <f t="shared" si="22"/>
        <v>5.4395849999999996E-2</v>
      </c>
      <c r="E373" s="20">
        <v>4.9607000000000001</v>
      </c>
      <c r="F373" s="20">
        <f t="shared" si="20"/>
        <v>372.05250000000001</v>
      </c>
      <c r="G373" s="20">
        <f t="shared" si="23"/>
        <v>1.8602625000000002</v>
      </c>
      <c r="H373" s="20">
        <f>AVERAGE(D371:D373)</f>
        <v>5.4705399999999994E-2</v>
      </c>
      <c r="I373" s="20">
        <f>AVERAGE(E371:E373)</f>
        <v>4.9557000000000002</v>
      </c>
    </row>
    <row r="374" spans="1:9" x14ac:dyDescent="0.4">
      <c r="A374">
        <v>117</v>
      </c>
      <c r="B374" s="20">
        <v>4.8504199999999997</v>
      </c>
      <c r="C374" s="20">
        <f t="shared" si="21"/>
        <v>14.551259999999999</v>
      </c>
      <c r="D374" s="20">
        <f t="shared" si="22"/>
        <v>7.2756299999999996E-2</v>
      </c>
      <c r="E374" s="20">
        <v>6.3838800000000004</v>
      </c>
      <c r="F374" s="20">
        <f t="shared" si="20"/>
        <v>478.79100000000005</v>
      </c>
      <c r="G374" s="20">
        <f t="shared" si="23"/>
        <v>2.3939550000000005</v>
      </c>
    </row>
    <row r="375" spans="1:9" x14ac:dyDescent="0.4">
      <c r="A375">
        <v>117</v>
      </c>
      <c r="B375" s="20">
        <v>4.7932699999999997</v>
      </c>
      <c r="C375" s="20">
        <f t="shared" si="21"/>
        <v>14.379809999999999</v>
      </c>
      <c r="D375" s="20">
        <f t="shared" si="22"/>
        <v>7.1899049999999992E-2</v>
      </c>
      <c r="E375" s="20">
        <v>6.4304199999999998</v>
      </c>
      <c r="F375" s="20">
        <f t="shared" si="20"/>
        <v>482.28149999999999</v>
      </c>
      <c r="G375" s="20">
        <f t="shared" si="23"/>
        <v>2.4114074999999997</v>
      </c>
    </row>
    <row r="376" spans="1:9" x14ac:dyDescent="0.4">
      <c r="A376">
        <v>117</v>
      </c>
      <c r="B376" s="20">
        <v>4.7694599999999996</v>
      </c>
      <c r="C376" s="20">
        <f t="shared" si="21"/>
        <v>14.30838</v>
      </c>
      <c r="D376" s="20">
        <f t="shared" si="22"/>
        <v>7.1541899999999992E-2</v>
      </c>
      <c r="E376" s="20">
        <v>6.4123999999999999</v>
      </c>
      <c r="F376" s="20">
        <f t="shared" si="20"/>
        <v>480.93</v>
      </c>
      <c r="G376" s="20">
        <f t="shared" si="23"/>
        <v>2.4046500000000002</v>
      </c>
      <c r="H376" s="20">
        <f>AVERAGE(D374:D376)</f>
        <v>7.2065749999999998E-2</v>
      </c>
      <c r="I376" s="20">
        <f>AVERAGE(E374:E376)</f>
        <v>6.4089</v>
      </c>
    </row>
    <row r="377" spans="1:9" x14ac:dyDescent="0.4">
      <c r="A377">
        <v>118</v>
      </c>
      <c r="B377" s="20">
        <v>2.66906</v>
      </c>
      <c r="C377" s="20">
        <f t="shared" si="21"/>
        <v>8.00718</v>
      </c>
      <c r="D377" s="20">
        <f t="shared" si="22"/>
        <v>4.0035899999999999E-2</v>
      </c>
      <c r="E377" s="20">
        <v>3.3543799999999999</v>
      </c>
      <c r="F377" s="20">
        <f t="shared" si="20"/>
        <v>251.57849999999999</v>
      </c>
      <c r="G377" s="20">
        <f t="shared" si="23"/>
        <v>1.2578924999999999</v>
      </c>
    </row>
    <row r="378" spans="1:9" x14ac:dyDescent="0.4">
      <c r="A378">
        <v>118</v>
      </c>
      <c r="B378" s="20">
        <v>2.7262200000000001</v>
      </c>
      <c r="C378" s="20">
        <f t="shared" si="21"/>
        <v>8.1786600000000007</v>
      </c>
      <c r="D378" s="20">
        <f t="shared" si="22"/>
        <v>4.08933E-2</v>
      </c>
      <c r="E378" s="20">
        <v>3.3603800000000001</v>
      </c>
      <c r="F378" s="20">
        <f t="shared" si="20"/>
        <v>252.02850000000001</v>
      </c>
      <c r="G378" s="20">
        <f t="shared" si="23"/>
        <v>1.2601424999999999</v>
      </c>
    </row>
    <row r="379" spans="1:9" x14ac:dyDescent="0.4">
      <c r="A379">
        <v>118</v>
      </c>
      <c r="B379" s="20">
        <v>2.7119300000000002</v>
      </c>
      <c r="C379" s="20">
        <f t="shared" si="21"/>
        <v>8.1357900000000001</v>
      </c>
      <c r="D379" s="20">
        <f t="shared" si="22"/>
        <v>4.0678949999999998E-2</v>
      </c>
      <c r="E379" s="20">
        <v>3.3438699999999999</v>
      </c>
      <c r="F379" s="20">
        <f t="shared" si="20"/>
        <v>250.79024999999999</v>
      </c>
      <c r="G379" s="20">
        <f t="shared" si="23"/>
        <v>1.2539512499999999</v>
      </c>
      <c r="H379" s="20">
        <f>AVERAGE(D377:D379)</f>
        <v>4.0536049999999997E-2</v>
      </c>
      <c r="I379" s="20">
        <f>AVERAGE(E377:E379)</f>
        <v>3.3528766666666669</v>
      </c>
    </row>
    <row r="380" spans="1:9" x14ac:dyDescent="0.4">
      <c r="A380">
        <v>119</v>
      </c>
      <c r="B380" s="20">
        <v>3.5168400000000002</v>
      </c>
      <c r="C380" s="20">
        <f t="shared" si="21"/>
        <v>10.550520000000001</v>
      </c>
      <c r="D380" s="20">
        <f t="shared" si="22"/>
        <v>5.2752600000000004E-2</v>
      </c>
      <c r="E380" s="20">
        <v>3.3543799999999999</v>
      </c>
      <c r="F380" s="20">
        <f t="shared" si="20"/>
        <v>251.57849999999999</v>
      </c>
      <c r="G380" s="20">
        <f t="shared" si="23"/>
        <v>1.2578924999999999</v>
      </c>
    </row>
    <row r="381" spans="1:9" x14ac:dyDescent="0.4">
      <c r="A381">
        <v>119</v>
      </c>
      <c r="B381" s="20">
        <v>3.4930300000000001</v>
      </c>
      <c r="C381" s="20">
        <f t="shared" si="21"/>
        <v>10.479089999999999</v>
      </c>
      <c r="D381" s="20">
        <f t="shared" si="22"/>
        <v>5.2395449999999996E-2</v>
      </c>
      <c r="E381" s="20">
        <v>3.3769</v>
      </c>
      <c r="F381" s="20">
        <f t="shared" si="20"/>
        <v>253.26750000000001</v>
      </c>
      <c r="G381" s="20">
        <f t="shared" si="23"/>
        <v>1.2663375000000001</v>
      </c>
    </row>
    <row r="382" spans="1:9" x14ac:dyDescent="0.4">
      <c r="A382">
        <v>119</v>
      </c>
      <c r="B382" s="20">
        <v>3.4930300000000001</v>
      </c>
      <c r="C382" s="20">
        <f t="shared" si="21"/>
        <v>10.479089999999999</v>
      </c>
      <c r="D382" s="20">
        <f t="shared" si="22"/>
        <v>5.2395449999999996E-2</v>
      </c>
      <c r="E382" s="20">
        <v>3.41893</v>
      </c>
      <c r="F382" s="20">
        <f t="shared" si="20"/>
        <v>256.41975000000002</v>
      </c>
      <c r="G382" s="20">
        <f t="shared" si="23"/>
        <v>1.2820987500000001</v>
      </c>
      <c r="H382" s="20">
        <f>AVERAGE(D380:D382)</f>
        <v>5.2514499999999999E-2</v>
      </c>
      <c r="I382" s="20">
        <f>AVERAGE(E380:E382)</f>
        <v>3.3834033333333333</v>
      </c>
    </row>
    <row r="383" spans="1:9" x14ac:dyDescent="0.4">
      <c r="A383">
        <v>120</v>
      </c>
      <c r="B383" s="20">
        <v>3.2120199999999999</v>
      </c>
      <c r="C383" s="20">
        <f t="shared" si="21"/>
        <v>9.6360600000000005</v>
      </c>
      <c r="D383" s="20">
        <f t="shared" si="22"/>
        <v>4.8180300000000002E-2</v>
      </c>
      <c r="E383" s="20">
        <v>4.45329</v>
      </c>
      <c r="F383" s="20">
        <f t="shared" si="20"/>
        <v>333.99675000000002</v>
      </c>
      <c r="G383" s="20">
        <f t="shared" si="23"/>
        <v>1.6699837500000001</v>
      </c>
    </row>
    <row r="384" spans="1:9" x14ac:dyDescent="0.4">
      <c r="A384">
        <v>120</v>
      </c>
      <c r="B384" s="20">
        <v>3.2548900000000001</v>
      </c>
      <c r="C384" s="20">
        <f t="shared" si="21"/>
        <v>9.7646700000000006</v>
      </c>
      <c r="D384" s="20">
        <f t="shared" si="22"/>
        <v>4.8823350000000001E-2</v>
      </c>
      <c r="E384" s="20">
        <v>4.4818100000000003</v>
      </c>
      <c r="F384" s="20">
        <f t="shared" si="20"/>
        <v>336.13575000000003</v>
      </c>
      <c r="G384" s="20">
        <f t="shared" si="23"/>
        <v>1.68067875</v>
      </c>
    </row>
    <row r="385" spans="1:9" x14ac:dyDescent="0.4">
      <c r="A385">
        <v>120</v>
      </c>
      <c r="B385" s="20">
        <v>3.1739199999999999</v>
      </c>
      <c r="C385" s="20">
        <f t="shared" si="21"/>
        <v>9.5217600000000004</v>
      </c>
      <c r="D385" s="20">
        <f t="shared" si="22"/>
        <v>4.76088E-2</v>
      </c>
      <c r="E385" s="20">
        <v>4.4187599999999998</v>
      </c>
      <c r="F385" s="20">
        <f t="shared" si="20"/>
        <v>331.40699999999998</v>
      </c>
      <c r="G385" s="20">
        <f t="shared" si="23"/>
        <v>1.6570349999999998</v>
      </c>
      <c r="H385" s="20">
        <f>AVERAGE(D383:D385)</f>
        <v>4.8204150000000001E-2</v>
      </c>
      <c r="I385" s="20">
        <f>AVERAGE(E383:E385)</f>
        <v>4.4512866666666673</v>
      </c>
    </row>
    <row r="386" spans="1:9" x14ac:dyDescent="0.4">
      <c r="A386">
        <v>121</v>
      </c>
      <c r="B386" s="20">
        <v>2.4404499999999998</v>
      </c>
      <c r="C386" s="20">
        <f t="shared" si="21"/>
        <v>7.3213499999999989</v>
      </c>
      <c r="D386" s="20">
        <f t="shared" si="22"/>
        <v>3.6606749999999993E-2</v>
      </c>
      <c r="E386" s="20">
        <v>2.2945099999999998</v>
      </c>
      <c r="F386" s="20">
        <f t="shared" ref="F386:F406" si="24">+E386*75</f>
        <v>172.08824999999999</v>
      </c>
      <c r="G386" s="20">
        <f t="shared" si="23"/>
        <v>0.86044124999999994</v>
      </c>
    </row>
    <row r="387" spans="1:9" x14ac:dyDescent="0.4">
      <c r="A387">
        <v>121</v>
      </c>
      <c r="B387" s="20">
        <v>2.43092</v>
      </c>
      <c r="C387" s="20">
        <f t="shared" ref="C387:C406" si="25">+B387*3</f>
        <v>7.2927599999999995</v>
      </c>
      <c r="D387" s="20">
        <f t="shared" ref="D387:D406" si="26">C387*5/1000</f>
        <v>3.6463799999999998E-2</v>
      </c>
      <c r="E387" s="20">
        <v>2.29901</v>
      </c>
      <c r="F387" s="20">
        <f t="shared" si="24"/>
        <v>172.42574999999999</v>
      </c>
      <c r="G387" s="20">
        <f t="shared" ref="G387:G406" si="27">F387*5/1000</f>
        <v>0.86212875</v>
      </c>
    </row>
    <row r="388" spans="1:9" x14ac:dyDescent="0.4">
      <c r="A388">
        <v>121</v>
      </c>
      <c r="B388" s="20">
        <v>2.3928199999999999</v>
      </c>
      <c r="C388" s="20">
        <f t="shared" si="25"/>
        <v>7.1784599999999994</v>
      </c>
      <c r="D388" s="20">
        <f t="shared" si="26"/>
        <v>3.5892300000000002E-2</v>
      </c>
      <c r="E388" s="20">
        <v>2.32003</v>
      </c>
      <c r="F388" s="20">
        <f t="shared" si="24"/>
        <v>174.00225</v>
      </c>
      <c r="G388" s="20">
        <f t="shared" si="27"/>
        <v>0.87001125000000001</v>
      </c>
      <c r="H388" s="20">
        <f>AVERAGE(D386:D388)</f>
        <v>3.6320949999999998E-2</v>
      </c>
      <c r="I388" s="20">
        <f>AVERAGE(E386:E388)</f>
        <v>2.3045166666666668</v>
      </c>
    </row>
    <row r="389" spans="1:9" x14ac:dyDescent="0.4">
      <c r="A389">
        <v>122</v>
      </c>
      <c r="B389" s="20">
        <v>2.1642100000000002</v>
      </c>
      <c r="C389" s="20">
        <f t="shared" si="25"/>
        <v>6.4926300000000001</v>
      </c>
      <c r="D389" s="20">
        <f t="shared" si="26"/>
        <v>3.2463149999999996E-2</v>
      </c>
      <c r="E389" s="20">
        <v>1.97624</v>
      </c>
      <c r="F389" s="20">
        <f t="shared" si="24"/>
        <v>148.21799999999999</v>
      </c>
      <c r="G389" s="20">
        <f t="shared" si="27"/>
        <v>0.74108999999999992</v>
      </c>
    </row>
    <row r="390" spans="1:9" x14ac:dyDescent="0.4">
      <c r="A390">
        <v>122</v>
      </c>
      <c r="B390" s="20">
        <v>2.2547000000000001</v>
      </c>
      <c r="C390" s="20">
        <f t="shared" si="25"/>
        <v>6.7641000000000009</v>
      </c>
      <c r="D390" s="20">
        <f t="shared" si="26"/>
        <v>3.3820500000000003E-2</v>
      </c>
      <c r="E390" s="20">
        <v>1.9582299999999999</v>
      </c>
      <c r="F390" s="20">
        <f t="shared" si="24"/>
        <v>146.86724999999998</v>
      </c>
      <c r="G390" s="20">
        <f t="shared" si="27"/>
        <v>0.73433624999999991</v>
      </c>
    </row>
    <row r="391" spans="1:9" x14ac:dyDescent="0.4">
      <c r="A391">
        <v>122</v>
      </c>
      <c r="B391" s="20">
        <v>2.2928000000000002</v>
      </c>
      <c r="C391" s="20">
        <f t="shared" si="25"/>
        <v>6.878400000000001</v>
      </c>
      <c r="D391" s="20">
        <f t="shared" si="26"/>
        <v>3.4392000000000006E-2</v>
      </c>
      <c r="E391" s="20">
        <v>1.9537199999999999</v>
      </c>
      <c r="F391" s="20">
        <f t="shared" si="24"/>
        <v>146.529</v>
      </c>
      <c r="G391" s="20">
        <f t="shared" si="27"/>
        <v>0.73264499999999999</v>
      </c>
      <c r="H391" s="20">
        <f>AVERAGE(D389:D391)</f>
        <v>3.3558549999999999E-2</v>
      </c>
      <c r="I391" s="20">
        <f>AVERAGE(E389:E391)</f>
        <v>1.9627299999999999</v>
      </c>
    </row>
    <row r="392" spans="1:9" x14ac:dyDescent="0.4">
      <c r="A392">
        <v>123</v>
      </c>
      <c r="B392" s="20">
        <v>2.5166499999999998</v>
      </c>
      <c r="C392" s="20">
        <f t="shared" si="25"/>
        <v>7.5499499999999991</v>
      </c>
      <c r="D392" s="20">
        <f t="shared" si="26"/>
        <v>3.7749749999999992E-2</v>
      </c>
      <c r="E392" s="20">
        <v>3.9758900000000001</v>
      </c>
      <c r="F392" s="20">
        <f t="shared" si="24"/>
        <v>298.19175000000001</v>
      </c>
      <c r="G392" s="20">
        <f t="shared" si="27"/>
        <v>1.4909587500000001</v>
      </c>
    </row>
    <row r="393" spans="1:9" x14ac:dyDescent="0.4">
      <c r="A393">
        <v>123</v>
      </c>
      <c r="B393" s="20">
        <v>2.5309400000000002</v>
      </c>
      <c r="C393" s="20">
        <f t="shared" si="25"/>
        <v>7.5928200000000006</v>
      </c>
      <c r="D393" s="20">
        <f t="shared" si="26"/>
        <v>3.7964100000000001E-2</v>
      </c>
      <c r="E393" s="20">
        <v>3.9954100000000001</v>
      </c>
      <c r="F393" s="20">
        <f t="shared" si="24"/>
        <v>299.65575000000001</v>
      </c>
      <c r="G393" s="20">
        <f t="shared" si="27"/>
        <v>1.4982787499999999</v>
      </c>
    </row>
    <row r="394" spans="1:9" x14ac:dyDescent="0.4">
      <c r="A394">
        <v>123</v>
      </c>
      <c r="B394" s="20">
        <v>2.55952</v>
      </c>
      <c r="C394" s="20">
        <f t="shared" si="25"/>
        <v>7.6785600000000001</v>
      </c>
      <c r="D394" s="20">
        <f t="shared" si="26"/>
        <v>3.8392799999999998E-2</v>
      </c>
      <c r="E394" s="20">
        <v>3.9954100000000001</v>
      </c>
      <c r="F394" s="20">
        <f t="shared" si="24"/>
        <v>299.65575000000001</v>
      </c>
      <c r="G394" s="20">
        <f t="shared" si="27"/>
        <v>1.4982787499999999</v>
      </c>
      <c r="H394" s="20">
        <f>AVERAGE(D392:D394)</f>
        <v>3.8035550000000001E-2</v>
      </c>
      <c r="I394" s="20">
        <f>AVERAGE(E392:E394)</f>
        <v>3.9889033333333335</v>
      </c>
    </row>
    <row r="395" spans="1:9" x14ac:dyDescent="0.4">
      <c r="A395">
        <v>124</v>
      </c>
      <c r="B395" s="20">
        <v>2.30233</v>
      </c>
      <c r="C395" s="20">
        <f t="shared" si="25"/>
        <v>6.9069900000000004</v>
      </c>
      <c r="D395" s="20">
        <f t="shared" si="26"/>
        <v>3.4534950000000002E-2</v>
      </c>
      <c r="E395" s="20">
        <v>3.10968</v>
      </c>
      <c r="F395" s="20">
        <f t="shared" si="24"/>
        <v>233.226</v>
      </c>
      <c r="G395" s="20">
        <f t="shared" si="27"/>
        <v>1.1661300000000001</v>
      </c>
    </row>
    <row r="396" spans="1:9" x14ac:dyDescent="0.4">
      <c r="A396">
        <v>124</v>
      </c>
      <c r="B396" s="20">
        <v>2.3547199999999999</v>
      </c>
      <c r="C396" s="20">
        <f t="shared" si="25"/>
        <v>7.0641599999999993</v>
      </c>
      <c r="D396" s="20">
        <f t="shared" si="26"/>
        <v>3.5320799999999999E-2</v>
      </c>
      <c r="E396" s="20">
        <v>3.1427100000000001</v>
      </c>
      <c r="F396" s="20">
        <f t="shared" si="24"/>
        <v>235.70325</v>
      </c>
      <c r="G396" s="20">
        <f t="shared" si="27"/>
        <v>1.1785162499999999</v>
      </c>
    </row>
    <row r="397" spans="1:9" x14ac:dyDescent="0.4">
      <c r="A397">
        <v>124</v>
      </c>
      <c r="B397" s="20">
        <v>2.37853</v>
      </c>
      <c r="C397" s="20">
        <f t="shared" si="25"/>
        <v>7.1355900000000005</v>
      </c>
      <c r="D397" s="20">
        <f t="shared" si="26"/>
        <v>3.567795E-2</v>
      </c>
      <c r="E397" s="20">
        <v>3.12019</v>
      </c>
      <c r="F397" s="20">
        <f t="shared" si="24"/>
        <v>234.01425</v>
      </c>
      <c r="G397" s="20">
        <f t="shared" si="27"/>
        <v>1.1700712499999999</v>
      </c>
      <c r="H397" s="20">
        <f>AVERAGE(D395:D397)</f>
        <v>3.5177899999999998E-2</v>
      </c>
      <c r="I397" s="20">
        <f>AVERAGE(E395:E397)</f>
        <v>3.1241933333333329</v>
      </c>
    </row>
    <row r="398" spans="1:9" x14ac:dyDescent="0.4">
      <c r="A398">
        <v>125</v>
      </c>
      <c r="B398" s="20">
        <v>2.9405399999999999</v>
      </c>
      <c r="C398" s="20">
        <f t="shared" si="25"/>
        <v>8.8216199999999994</v>
      </c>
      <c r="D398" s="20">
        <f t="shared" si="26"/>
        <v>4.410809999999999E-2</v>
      </c>
      <c r="E398" s="20">
        <v>3.5375299999999998</v>
      </c>
      <c r="F398" s="20">
        <f t="shared" si="24"/>
        <v>265.31475</v>
      </c>
      <c r="G398" s="20">
        <f t="shared" si="27"/>
        <v>1.3265737500000001</v>
      </c>
    </row>
    <row r="399" spans="1:9" x14ac:dyDescent="0.4">
      <c r="A399">
        <v>125</v>
      </c>
      <c r="B399" s="20">
        <v>3.0072199999999998</v>
      </c>
      <c r="C399" s="20">
        <f t="shared" si="25"/>
        <v>9.0216599999999989</v>
      </c>
      <c r="D399" s="20">
        <f t="shared" si="26"/>
        <v>4.510829999999999E-2</v>
      </c>
      <c r="E399" s="20">
        <v>3.5315300000000001</v>
      </c>
      <c r="F399" s="20">
        <f t="shared" si="24"/>
        <v>264.86475000000002</v>
      </c>
      <c r="G399" s="20">
        <f t="shared" si="27"/>
        <v>1.32432375</v>
      </c>
    </row>
    <row r="400" spans="1:9" x14ac:dyDescent="0.4">
      <c r="A400">
        <v>125</v>
      </c>
      <c r="B400" s="20">
        <v>3.06914</v>
      </c>
      <c r="C400" s="20">
        <f t="shared" si="25"/>
        <v>9.207419999999999</v>
      </c>
      <c r="D400" s="20">
        <f t="shared" si="26"/>
        <v>4.6037099999999997E-2</v>
      </c>
      <c r="E400" s="20">
        <v>3.5375299999999998</v>
      </c>
      <c r="F400" s="20">
        <f t="shared" si="24"/>
        <v>265.31475</v>
      </c>
      <c r="G400" s="20">
        <f t="shared" si="27"/>
        <v>1.3265737500000001</v>
      </c>
      <c r="H400" s="20">
        <f>AVERAGE(D398:D400)</f>
        <v>4.5084499999999993E-2</v>
      </c>
      <c r="I400" s="20">
        <f>AVERAGE(E398:E400)</f>
        <v>3.5355300000000001</v>
      </c>
    </row>
    <row r="401" spans="1:9" x14ac:dyDescent="0.4">
      <c r="A401">
        <v>126</v>
      </c>
      <c r="B401" s="20">
        <v>1.8974899999999999</v>
      </c>
      <c r="C401" s="20">
        <f t="shared" si="25"/>
        <v>5.6924700000000001</v>
      </c>
      <c r="D401" s="20">
        <f t="shared" si="26"/>
        <v>2.8462350000000001E-2</v>
      </c>
      <c r="E401" s="20">
        <v>2.05281</v>
      </c>
      <c r="F401" s="20">
        <f t="shared" si="24"/>
        <v>153.96074999999999</v>
      </c>
      <c r="G401" s="20">
        <f t="shared" si="27"/>
        <v>0.7698037499999999</v>
      </c>
    </row>
    <row r="402" spans="1:9" x14ac:dyDescent="0.4">
      <c r="A402">
        <v>126</v>
      </c>
      <c r="B402" s="20">
        <v>1.8974899999999999</v>
      </c>
      <c r="C402" s="20">
        <f t="shared" si="25"/>
        <v>5.6924700000000001</v>
      </c>
      <c r="D402" s="20">
        <f t="shared" si="26"/>
        <v>2.8462350000000001E-2</v>
      </c>
      <c r="E402" s="20">
        <v>2.05281</v>
      </c>
      <c r="F402" s="20">
        <f t="shared" si="24"/>
        <v>153.96074999999999</v>
      </c>
      <c r="G402" s="20">
        <f t="shared" si="27"/>
        <v>0.7698037499999999</v>
      </c>
    </row>
    <row r="403" spans="1:9" x14ac:dyDescent="0.4">
      <c r="A403">
        <v>126</v>
      </c>
      <c r="B403" s="20">
        <v>1.87368</v>
      </c>
      <c r="C403" s="20">
        <f t="shared" si="25"/>
        <v>5.6210399999999998</v>
      </c>
      <c r="D403" s="20">
        <f t="shared" si="26"/>
        <v>2.81052E-2</v>
      </c>
      <c r="E403" s="20">
        <v>2.0482999999999998</v>
      </c>
      <c r="F403" s="20">
        <f t="shared" si="24"/>
        <v>153.62249999999997</v>
      </c>
      <c r="G403" s="20">
        <f t="shared" si="27"/>
        <v>0.76811249999999986</v>
      </c>
      <c r="H403" s="20">
        <f>AVERAGE(D401:D403)</f>
        <v>2.8343300000000002E-2</v>
      </c>
      <c r="I403" s="20">
        <f>AVERAGE(E401:E403)</f>
        <v>2.0513066666666666</v>
      </c>
    </row>
    <row r="404" spans="1:9" x14ac:dyDescent="0.4">
      <c r="A404">
        <v>127</v>
      </c>
      <c r="B404" s="20">
        <v>2.4928400000000002</v>
      </c>
      <c r="C404" s="20">
        <f t="shared" si="25"/>
        <v>7.4785200000000005</v>
      </c>
      <c r="D404" s="20">
        <f t="shared" si="26"/>
        <v>3.7392600000000005E-2</v>
      </c>
      <c r="E404" s="20">
        <v>2.1488900000000002</v>
      </c>
      <c r="F404" s="20">
        <f t="shared" si="24"/>
        <v>161.16675000000001</v>
      </c>
      <c r="G404" s="20">
        <f t="shared" si="27"/>
        <v>0.80583375000000002</v>
      </c>
    </row>
    <row r="405" spans="1:9" x14ac:dyDescent="0.4">
      <c r="A405">
        <v>127</v>
      </c>
      <c r="B405" s="20">
        <v>2.4928400000000002</v>
      </c>
      <c r="C405" s="20">
        <f t="shared" si="25"/>
        <v>7.4785200000000005</v>
      </c>
      <c r="D405" s="20">
        <f t="shared" si="26"/>
        <v>3.7392600000000005E-2</v>
      </c>
      <c r="E405" s="20">
        <v>2.12487</v>
      </c>
      <c r="F405" s="20">
        <f t="shared" si="24"/>
        <v>159.36525</v>
      </c>
      <c r="G405" s="20">
        <f t="shared" si="27"/>
        <v>0.79682625000000007</v>
      </c>
    </row>
    <row r="406" spans="1:9" x14ac:dyDescent="0.4">
      <c r="A406">
        <v>127</v>
      </c>
      <c r="B406" s="20">
        <v>2.5166499999999998</v>
      </c>
      <c r="C406" s="20">
        <f t="shared" si="25"/>
        <v>7.5499499999999991</v>
      </c>
      <c r="D406" s="20">
        <f t="shared" si="26"/>
        <v>3.7749749999999992E-2</v>
      </c>
      <c r="E406" s="20">
        <v>2.1158600000000001</v>
      </c>
      <c r="F406" s="20">
        <f t="shared" si="24"/>
        <v>158.68950000000001</v>
      </c>
      <c r="G406" s="20">
        <f t="shared" si="27"/>
        <v>0.79344749999999997</v>
      </c>
      <c r="H406" s="20">
        <f>AVERAGE(D404:D406)</f>
        <v>3.7511650000000001E-2</v>
      </c>
      <c r="I406" s="20">
        <f>AVERAGE(E404:E406)</f>
        <v>2.1298733333333337</v>
      </c>
    </row>
    <row r="407" spans="1:9" x14ac:dyDescent="0.4">
      <c r="B407" s="20"/>
      <c r="C407" s="20"/>
      <c r="D407" s="20"/>
      <c r="E407" s="20"/>
      <c r="F407" s="20"/>
    </row>
    <row r="408" spans="1:9" x14ac:dyDescent="0.4">
      <c r="B408" s="20"/>
      <c r="C408" s="20"/>
      <c r="D408" s="20"/>
      <c r="E408" s="20"/>
      <c r="F408" s="20"/>
    </row>
    <row r="409" spans="1:9" x14ac:dyDescent="0.4">
      <c r="B409" s="20"/>
      <c r="C409" s="20"/>
      <c r="D409" s="20"/>
      <c r="E409" s="20"/>
      <c r="F409" s="20"/>
    </row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干团聚体分级</vt:lpstr>
      <vt:lpstr>土壤总盐分</vt:lpstr>
      <vt:lpstr>10cm各级团聚体盐分</vt:lpstr>
      <vt:lpstr>20cm分级团聚体盐分</vt:lpstr>
      <vt:lpstr>30cm分级团聚体盐分</vt:lpstr>
      <vt:lpstr>原子吸收KNa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</cp:lastModifiedBy>
  <dcterms:created xsi:type="dcterms:W3CDTF">2022-07-04T03:00:31Z</dcterms:created>
  <dcterms:modified xsi:type="dcterms:W3CDTF">2022-07-04T03:18:05Z</dcterms:modified>
</cp:coreProperties>
</file>